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tables/table3.xml" ContentType="application/vnd.openxmlformats-officedocument.spreadsheetml.table+xml"/>
  <Override PartName="/xl/comments1.xml" ContentType="application/vnd.openxmlformats-officedocument.spreadsheetml.comments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https://nhcorgza-my.sharepoint.com/personal/m_aphane_nhc_org_za/Documents/Desktop/ASSETS/"/>
    </mc:Choice>
  </mc:AlternateContent>
  <xr:revisionPtr revIDLastSave="0" documentId="8_{474FFDBD-F1FE-44B5-A995-F6E03F2B948F}" xr6:coauthVersionLast="47" xr6:coauthVersionMax="47" xr10:uidLastSave="{00000000-0000-0000-0000-000000000000}"/>
  <bookViews>
    <workbookView xWindow="-110" yWindow="-110" windowWidth="19420" windowHeight="11500" tabRatio="839" firstSheet="2" activeTab="5" xr2:uid="{00000000-000D-0000-FFFF-FFFF00000000}"/>
  </bookViews>
  <sheets>
    <sheet name="Proposed journals" sheetId="22" state="hidden" r:id="rId1"/>
    <sheet name="Tie-in" sheetId="21" state="hidden" r:id="rId2"/>
    <sheet name="Disclosure per Register" sheetId="20" r:id="rId3"/>
    <sheet name="Detail1" sheetId="28" r:id="rId4"/>
    <sheet name="Detail2" sheetId="29" r:id="rId5"/>
    <sheet name="FAR Pivot" sheetId="16" r:id="rId6"/>
    <sheet name="NHC_FAR" sheetId="1" r:id="rId7"/>
    <sheet name="Intangible FAR" sheetId="27" state="hidden" r:id="rId8"/>
    <sheet name="Additions" sheetId="25" state="hidden" r:id="rId9"/>
    <sheet name="Sheet2" sheetId="24" state="hidden" r:id="rId10"/>
  </sheets>
  <externalReferences>
    <externalReference r:id="rId11"/>
    <externalReference r:id="rId12"/>
    <externalReference r:id="rId13"/>
    <externalReference r:id="rId14"/>
  </externalReferences>
  <definedNames>
    <definedName name="__123Graph_A" localSheetId="2" hidden="1">[1]PROGRESS!#REF!</definedName>
    <definedName name="__123Graph_A" hidden="1">[1]PROGRESS!#REF!</definedName>
    <definedName name="__123Graph_B" localSheetId="2" hidden="1">[1]PROGRESS!#REF!</definedName>
    <definedName name="__123Graph_B" hidden="1">[1]PROGRESS!#REF!</definedName>
    <definedName name="__123Graph_X" localSheetId="2" hidden="1">[1]PROGRESS!#REF!</definedName>
    <definedName name="__123Graph_X" hidden="1">[1]PROGRESS!#REF!</definedName>
    <definedName name="_12__123Graph_B1_94" localSheetId="2" hidden="1">[1]PROGRESS!#REF!</definedName>
    <definedName name="_12__123Graph_B1_94" hidden="1">[1]PROGRESS!#REF!</definedName>
    <definedName name="_15__123Graph_BPROGRESS_4_95" localSheetId="2" hidden="1">[1]PROGRESS!#REF!</definedName>
    <definedName name="_15__123Graph_BPROGRESS_4_95" hidden="1">[1]PROGRESS!#REF!</definedName>
    <definedName name="_18__123Graph_BTEM1_94" hidden="1">[1]PROGRESS!#REF!</definedName>
    <definedName name="_21__123Graph_X1_94" hidden="1">[1]PROGRESS!#REF!</definedName>
    <definedName name="_24__123Graph_XPROGRESS_4_95" hidden="1">[1]PROGRESS!#REF!</definedName>
    <definedName name="_27__123Graph_XTEM1_94" hidden="1">[1]PROGRESS!#REF!</definedName>
    <definedName name="_3__123Graph_A1_94" hidden="1">[1]PROGRESS!#REF!</definedName>
    <definedName name="_6__123Graph_APROGRESS_4_95" hidden="1">[1]PROGRESS!#REF!</definedName>
    <definedName name="_9__123Graph_ATEM1_94" hidden="1">[1]PROGRESS!#REF!</definedName>
    <definedName name="ABRUL" localSheetId="6">IF(OR(NHC_FAR!#REF!={"NA",0,""}),"NA",IF(OR(NHC_FAR!$O1=NDA),"NA",IF(NHC_FAR!$AI1-YEARFRAC(NHC_FAR!#REF!,DATE(YEAR(NHC_FAR!$B$3),6,30))&lt;0,0,NHC_FAR!$AI1-YEARFRAC(NHC_FAR!#REF!,DATE(YEAR(NHC_FAR!$B$3),6,30)))))</definedName>
    <definedName name="ACB" localSheetId="6">SUM(NHC_FAR!$BD1:$BF1,NHC_FAR!$BH1:$BJ1,NHC_FAR!$BM1)</definedName>
    <definedName name="Accounting_Policy_Change_confirmation" localSheetId="6">IF(OR(NHC_FAR!#REF!={0,""}),"No Change - New Asset",IF(NHC_FAR!#REF!=NHC_FAR!$AI1,"No Change","Change"))</definedName>
    <definedName name="Additions" localSheetId="6">IF(NHC_FAR!$AS1="Deemed Cost",IF(NHC_FAR!#REF!&gt;=DATE(YEAR(NHC_FAR!$B$3)-1,7,1),NHC_FAR!#REF!,0),IF(NHC_FAR!#REF!&gt;=DATE(YEAR(NHC_FAR!$B$3)-1,7,1),INDEX(#REF!,MATCH(NHC_FAR!$A1,#REF!,0)),0))</definedName>
    <definedName name="Adepr" localSheetId="6">(((IF((IF(NHC_FAR!$AO1+1&gt;=NHC_FAR!$AI1,NHC_FAR!$AI1,NHC_FAR!$AO1+1))&lt;=1,IF(NHC_FAR!$AZ1&gt;=NHC_FAR!#REF!,-NHC_FAR!$AZ1+NHC_FAR!#REF!,0),((IF((NHC_FAR!$AT1+NHC_FAR!$AU1+NHC_FAR!$BD1+NHC_FAR!$BF1+NHC_FAR!$BH1+NHC_FAR!$BO1)&gt;=NHC_FAR!#REF!,-(NHC_FAR!$AT1+NHC_FAR!$AU1+NHC_FAR!$BD1+NHC_FAR!$BF1+NHC_FAR!$BH1+NHC_FAR!$BO1-NHC_FAR!#REF!),0)/(IF((NHC_FAR!$AO1+1)&gt;=NHC_FAR!$AI1,NHC_FAR!$AI1,NHC_FAR!$AO1+1))))*(IF(NHC_FAR!#REF!&gt;=(DATE((YEAR(NHC_FAR!$B$3)-1),7,1)),(YEARFRAC(NHC_FAR!#REF!,DATE((YEAR(NHC_FAR!$B$3)),6,30)+1,3)),1))))))</definedName>
    <definedName name="ADepreciation" localSheetId="6">IF(OR(NHC_FAR!$O1=NDA),0,IF(OR(NHC_FAR!#REF!={"No",0}),1* NHC_FAR!Adepr,  YEARFRAC(DATE(YEAR(NHC_FAR!$B$3)-1,7,1),IF(OR(NHC_FAR!#REF!={0,""}),DATE(YEAR(NHC_FAR!$B$3)-1,7,1),NHC_FAR!#REF!),3)* NHC_FAR!Adepr))</definedName>
    <definedName name="Annual_depreciation__not_to_be_used_for_accounting" localSheetId="6">IF(OR(NHC_FAR!$O1=NDA),0,IF(NHC_FAR!$AS1="Actual cost",-(NHC_FAR!$AY1-NHC_FAR!#REF!)/NHC_FAR!$AI1,-((NHC_FAR!#REF!-NHC_FAR!#REF!)/NHC_FAR!$AI1)))</definedName>
    <definedName name="C_1" localSheetId="6">INDEX(#REF!,MATCH(NHC_FAR!$E1,#REF!,0))</definedName>
    <definedName name="C_2" localSheetId="6">INDEX(#REF!,MATCH(NHC_FAR!$G1,#REF!,0))</definedName>
    <definedName name="C_3" localSheetId="6">INDEX(#REF!,MATCH(NHC_FAR!$I1,#REF!,0))</definedName>
    <definedName name="C_4" localSheetId="6">INDEX(#REF!,MATCH(NHC_FAR!#REF!,#REF!,0))</definedName>
    <definedName name="C_5" localSheetId="6">INDEX(#REF!,MATCH(NHC_FAR!$O1,#REF!,0))</definedName>
    <definedName name="C_6" localSheetId="6">INDEX(#REF!,MATCH(NHC_FAR!$Q1,#REF!,0))</definedName>
    <definedName name="CAI" localSheetId="6">SUM(NHC_FAR!$BO1:$BR1)</definedName>
    <definedName name="CalcAcqYear" localSheetId="6">IF(OR(NHC_FAR!#REF!={"",0}),IF(NHC_FAR!$AO1="NA",LEFT(NHC_FAR!#REF!,7),IF(OR(MONTH(ROUNDUP(NHC_FAR!$B$3-((NHC_FAR!$AI1-NHC_FAR!$AO1)*365),0))={7,8,9,10,11,12}),YEAR(ROUNDUP(NHC_FAR!$B$3-((NHC_FAR!$AI1-NHC_FAR!$AO1)*365),0))&amp;"/"&amp;RIGHT(YEAR(ROUNDUP(NHC_FAR!$B$3-((NHC_FAR!$AI1-NHC_FAR!$AO1)*365),0))+1,2),YEAR(ROUNDUP(NHC_FAR!$B$3-((NHC_FAR!$AI1-NHC_FAR!$AO1)*365),0))-1&amp;"/"&amp;RIGHT(YEAR(ROUNDUP(NHC_FAR!$B$3-((NHC_FAR!$AI1-NHC_FAR!$AO1)*365),0)),2))),IF(OR(MONTH(NHC_FAR!#REF!)={7,8,9,10,11,12}),YEAR(NHC_FAR!#REF!)&amp;"/"&amp;RIGHT(YEAR(NHC_FAR!#REF!)+1,2),YEAR(NHC_FAR!#REF!)-1&amp;"/"&amp;RIGHT(YEAR(NHC_FAR!#REF!),2)))</definedName>
    <definedName name="CCB" localSheetId="6">SUM(NHC_FAR!$AT1:$AW1)</definedName>
    <definedName name="CCV" localSheetId="6">NHC_FAR!$AY1+NHC_FAR!$BN1+NHC_FAR!$BS1</definedName>
    <definedName name="Change_AP" localSheetId="6">-(IF(NHC_FAR!#REF!=NHC_FAR!$AI1,0,      IFERROR(IF((NHC_FAR!#REF!-NHC_FAR!#REF!)&lt;=0,0,NHC_FAR!$AZ1),0))             -IF(OR(NHC_FAR!#REF!=NHC_FAR!$AI1,AND(NHC_FAR!#REF!=0,NHC_FAR!$AO1=0)),0,             IFERROR(                      IF((NHC_FAR!#REF!-NHC_FAR!#REF!)&lt;=0,0,                         IF(NHC_FAR!#REF!=0,0,(NHC_FAR!#REF!-(NHC_FAR!#REF!-NHC_FAR!#REF!)+NHC_FAR!$AI1-NHC_FAR!#REF!))),0))              /IF(NHC_FAR!$AI1="NA",1,NHC_FAR!$AI1)*NHC_FAR!$AY1)</definedName>
    <definedName name="CIULE" localSheetId="6">IF(OR(NHC_FAR!#REF!="NA",NHC_FAR!XCL1&lt;&gt;0),0,-(NHC_FAR!$BJ1-  (IF(OR(NHC_FAR!$O1=NDA),0,IF(OR(NHC_FAR!#REF!={"No",0}),1* NHC_FAR!CIULE_sub,  YEARFRAC(DATE(YEAR(NHC_FAR!$B$3)-1,7,1),IF(OR(NHC_FAR!#REF!={0,""}),DATE(YEAR(NHC_FAR!$B$3)-1,7,1),NHC_FAR!#REF!),3)* NHC_FAR!CIULE_sub)))))</definedName>
    <definedName name="CIULE_sub" localSheetId="6">(((IF((IF(NHC_FAR!#REF!+1&gt;=NHC_FAR!$AI1,NHC_FAR!$AI1,NHC_FAR!#REF!+1))&lt;=1,IF(NHC_FAR!$AZ1&gt;=NHC_FAR!#REF!,-NHC_FAR!$AZ1+NHC_FAR!#REF!,0),((IF((NHC_FAR!$AT1+NHC_FAR!$AU1+(NHC_FAR!$BD1+NHC_FAR!$BF1+NHC_FAR!$BH1)+NHC_FAR!$BS1)&gt;=NHC_FAR!#REF!,-(NHC_FAR!$AT1+NHC_FAR!$AU1+(NHC_FAR!$BD1+NHC_FAR!$BF1+NHC_FAR!$BH1)+NHC_FAR!$BS1-NHC_FAR!#REF!),0)/(IF(NHC_FAR!#REF!+1&gt;=NHC_FAR!$AI1,NHC_FAR!$AI1,IF(NHC_FAR!#REF!+1&gt;=NHC_FAR!$AI1,NHC_FAR!$AI1,NHC_FAR!#REF!+1)))))*(IF(NHC_FAR!#REF!&gt;=(DATE((YEAR(NHC_FAR!$B$3)-1),7,1)),(YEARFRAC(NHC_FAR!#REF!,DATE((YEAR(NHC_FAR!$B$3)),6,30)+1,3)),1))))))</definedName>
    <definedName name="COB" localSheetId="6">SUM(NHC_FAR!$AT1:$AW1)</definedName>
    <definedName name="Compopt" localSheetId="6">_xlfn.IFNA(INDEX(#REF!,MATCH(NHC_FAR!$R1,#REF!,0)),"POLICY ERROR!!!")</definedName>
    <definedName name="Con_q" localSheetId="6">IF(NHC_FAR!#REF!="5","Very Poor",IF(NHC_FAR!#REF!="4","Poor",IF(NHC_FAR!#REF!="3","Fair",IF(NHC_FAR!#REF!="2","Good","Very Good"))))</definedName>
    <definedName name="ConB_RUL_Lower" localSheetId="6">IFERROR(INDEX(#REF!,MATCH(NHC_FAR!$AI1,#REF!,0),MATCH(NHC_FAR!#REF!,#REF!,0)-1),"NA")</definedName>
    <definedName name="ConB_RUL_Median" localSheetId="6">IFERROR(INDEX(#REF!,MATCH(NHC_FAR!$AI1,#REF!,0),MATCH(NHC_FAR!#REF!,#REF!,0)),"NA")</definedName>
    <definedName name="ConB_RUL_Upper" localSheetId="6">IFERROR(INDEX(#REF!,MATCH(NHC_FAR!$AI1,#REF!,0),MATCH(NHC_FAR!#REF!,#REF!,0)+1),"NA")</definedName>
    <definedName name="Condition_assessment" localSheetId="6">IF(NHC_FAR!#REF!="","NA",NHC_FAR!#REF!)</definedName>
    <definedName name="Corr_RUL_Err" localSheetId="6">IF((NHC_FAR!$AT1+NHC_FAR!$BD1+NHC_FAR!$BF1)&lt;=0,IF(NHC_FAR!$AO1&gt;0,  (-NHC_FAR!$BD1+IF(OR(NHC_FAR!$O1=NDA),0,-(((NHC_FAR!$AT1+NHC_FAR!$AU1)-NHC_FAR!#REF!)*((NHC_FAR!$AI1-(IF(NHC_FAR!$AO1&gt;=NHC_FAR!$AI1,NHC_FAR!$AI1,IF(NHC_FAR!$AO1+1&gt;=NHC_FAR!$AI1,NHC_FAR!$AI1,NHC_FAR!$AO1+1))))/NHC_FAR!$AI1)))), 0),0)</definedName>
    <definedName name="Cost_Opening_NewAssets" localSheetId="6">IF(NHC_FAR!$AS1="Deemed Cost",IF(NHC_FAR!#REF!&lt;=DATE(YEAR(NHC_FAR!$B$3)-1,6,30),NHC_FAR!#REF!,0),IF(NHC_FAR!#REF!&lt;=DATE(YEAR(NHC_FAR!$B$3)-1,6,30),INDEX(#REF!,MATCH(NHC_FAR!$A1,#REF!,0)),0))</definedName>
    <definedName name="CPA_Ref" localSheetId="6">INDEX(#REF!,MATCH(NHC_FAR!$R1,#REF!,0),17)</definedName>
    <definedName name="CPABaseadj" localSheetId="6">IF(OR(NHC_FAR!#REF!={"",0,"NA - Actual Cost"}),"",IF(NHC_FAR!$B$1="North West",INDEX(#REF!,MATCH(NHC_FAR!$P1,#REF!,0),MATCH(NHC_FAR!#REF!,#REF!,0)),INDEX(#REF!,MATCH(NHC_FAR!$P1,#REF!,0),MATCH(NHC_FAR!#REF!,#REF!,0))))</definedName>
    <definedName name="CPAperiodBase" localSheetId="6">IF(OR(NHC_FAR!#REF!={"",0,"NA - Actual Cost"}),"",NHC_FAR!#REF!&amp;" "&amp;LEFT(NHC_FAR!#REF!,7)&amp;" to "&amp;INDEX(#REF!,MATCH(NHC_FAR!$R1,#REF!,0))&amp;" factor")</definedName>
    <definedName name="CPAperiodValuation" localSheetId="6">IF(OR(NHC_FAR!#REF!={"",0,"NA - Actual Cost"}),"",NHC_FAR!#REF!&amp;" "&amp;LEFT(NHC_FAR!#REF!,7)&amp;" to "&amp;IF(NHC_FAR!#REF!={0,""},IF(VALUE(LEFT(NHC_FAR!#REF!,4))&lt;=VALUE(LEFT(NHC_FAR!#REF!,4)),LEFT(NHC_FAR!#REF!,7),NHC_FAR!#REF!),IF(VALUE(LEFT(NHC_FAR!#REF!,4))&lt;=VALUE(LEFT(NHC_FAR!#REF!,4)),LEFT(NHC_FAR!#REF!,7),NHC_FAR!#REF!))&amp;" factor")</definedName>
    <definedName name="CPAVal_adj" localSheetId="6">IF(OR(NHC_FAR!#REF!={"",0,"NA - Actual Cost"}),"",IF(NHC_FAR!$B$1="North West",INDEX(#REF!,MATCH(NHC_FAR!$P1,#REF!,0),MATCH(NHC_FAR!#REF!,#REF!,0)),INDEX(#REF!,MATCH(NHC_FAR!$P1,#REF!,0),MATCH(NHC_FAR!#REF!,#REF!,0))))</definedName>
    <definedName name="CRC" localSheetId="6">IF(OR(NHC_FAR!#REF!={"",0}),"",IF(OR(NHC_FAR!UnitRate="NA - Actual cost",NHC_FAR!UnitRate=""),"",IF(NHC_FAR!#REF!=NHC_FAR!#REF!,NHC_FAR!#REF!*NHC_FAR!$AA1,NHC_FAR!#REF!*NHC_FAR!#REF!*NHC_FAR!$AA1)))</definedName>
    <definedName name="CRC_CPA_ADJ" localSheetId="6">IF(OR(NHC_FAR!#REF!={"",0,"NA - Actual Cost"}),"",NHC_FAR!#REF!/NHC_FAR!#REF!*NHC_FAR!#REF!)</definedName>
    <definedName name="Depr" comment="Depreciation segment of formula" localSheetId="6">(((IF((IF(NHC_FAR!$AO1+1&gt;=NHC_FAR!$AI1,NHC_FAR!$AI1,NHC_FAR!$AO1+1))&lt;=1,IF(NHC_FAR!$AZ1&gt;=NHC_FAR!#REF!,-NHC_FAR!$AZ1+NHC_FAR!#REF!,0),((IF((NHC_FAR!$AT1+NHC_FAR!$AU1+NHC_FAR!$BD1+NHC_FAR!$BF1+NHC_FAR!$BH1+NHC_FAR!$BS1)&gt;=NHC_FAR!#REF!,-(NHC_FAR!$AT1+NHC_FAR!$AU1+NHC_FAR!$BD1+NHC_FAR!$BF1+NHC_FAR!$BH1+NHC_FAR!$BS1-NHC_FAR!#REF!),0)/(IF((NHC_FAR!$AO1+1)&gt;=NHC_FAR!$AI1,NHC_FAR!$AI1,NHC_FAR!$AO1+1))))*(IF(NHC_FAR!#REF!&gt;=(DATE((YEAR(NHC_FAR!$B$3)-1),7,1)),(YEARFRAC(NHC_FAR!#REF!,DATE((YEAR(NHC_FAR!$B$3)),6,30)+1,3)),1))))))</definedName>
    <definedName name="Depreciation" localSheetId="6">IF(OR(NHC_FAR!$O1=NDA),0,IF(OR(NHC_FAR!#REF!={"No",0}),1* NHC_FAR!Depr,  YEARFRAC(DATE(YEAR(NHC_FAR!$B$3)-1,7,1),IF(OR(NHC_FAR!#REF!={0,""}),DATE(YEAR(NHC_FAR!$B$3)-1,7,1),NHC_FAR!#REF!),3)* NHC_FAR!Depr))</definedName>
    <definedName name="Dereg_AccDep" localSheetId="6">IF(NHC_FAR!#REF!="Yes",-SUM(NHC_FAR!$BD1:$BF1,NHC_FAR!$BH1:$BJ1),0)</definedName>
    <definedName name="Dereg_AccImp" localSheetId="6">IF(NHC_FAR!#REF!="Yes",-SUM(NHC_FAR!$BO1:$BQ1),0)</definedName>
    <definedName name="Dereg_Cost" localSheetId="6">IF(NHC_FAR!#REF!="Yes",-SUM(NHC_FAR!$AT1:$AV1),0)</definedName>
    <definedName name="DescrClass" localSheetId="6">_xlfn.IFNA(INDEX(#REF!,MATCH(NHC_FAR!$R1,#REF!,0)),"")</definedName>
    <definedName name="DRC" localSheetId="6">IF(OR(NHC_FAR!#REF!={"",0}),"",IFERROR(IF(OR(NHC_FAR!$O1=NDA),NHC_FAR!#REF!,((NHC_FAR!#REF!-(NHC_FAR!#REF!*NHC_FAR!#REF!))*((IF(NHC_FAR!$AN1+1&gt;=NHC_FAR!$AI1,NHC_FAR!$AI1,NHC_FAR!$AN1+1))/NHC_FAR!$AI1)))+(NHC_FAR!#REF!*NHC_FAR!#REF!),NHC_FAR!#REF!))</definedName>
    <definedName name="DRC_CPA_ADJ" localSheetId="6">IF(OR(NHC_FAR!#REF!={"",0,"NA - Actual Cost"}),"",NHC_FAR!#REF!/NHC_FAR!#REF!*NHC_FAR!#REF!)</definedName>
    <definedName name="EUL" localSheetId="6">_xlfn.IFNA(INDEX(#REF!,MATCH(NHC_FAR!$R1,#REF!,0)),"")</definedName>
    <definedName name="FARUL" localSheetId="6">IF(NHC_FAR!#REF!&gt;=(DATE((YEAR(NHC_FAR!$B$3)-1),7,1)),IF(NHC_FAR!$AI1="NA","NA",NHC_FAR!$AI1-(YEARFRAC(NHC_FAR!#REF!,DATE((YEAR(NHC_FAR!$B$3)),6,30)+1,3))),IF(AND(NHC_FAR!#REF!&gt;NHC_FAR!#REF!,NHC_FAR!#REF!&lt;=NHC_FAR!#REF!),NHC_FAR!#REF!,NHC_FAR!#REF!))</definedName>
    <definedName name="FC" localSheetId="6">"FX005002001000000000000000000000000"</definedName>
    <definedName name="FClass" localSheetId="6">"Finance and Administration : Asset Management"</definedName>
    <definedName name="General_List" localSheetId="6">INDEX(#REF!,0,MATCH(NHC_FAR!A$6,#REF!,0))</definedName>
    <definedName name="General_List_F" localSheetId="8">OFFSET(NHC_FAR!General_List,0,0,COUNTA(NHC_FAR!General_List),1)</definedName>
    <definedName name="General_List_F" localSheetId="7">OFFSET(NHC_FAR!General_List,0,0,COUNTA(NHC_FAR!General_List),1)</definedName>
    <definedName name="General_List_F" localSheetId="6">OFFSET(NHC_FAR!General_List,0,0,COUNTA(NHC_FAR!General_List),1)</definedName>
    <definedName name="General_List_F" localSheetId="9">OFFSET(NHC_FAR!General_List,0,0,COUNTA(NHC_FAR!General_List),1)</definedName>
    <definedName name="Graph" localSheetId="2" hidden="1">[1]PROGRESS!#REF!</definedName>
    <definedName name="Graph" hidden="1">[1]PROGRESS!#REF!</definedName>
    <definedName name="Mpumalanga">#REF!</definedName>
    <definedName name="mSCOA_Asset_ID" localSheetId="6">INDEX(#REF!, IFERROR(MATCH(NHC_FAR!XEI1&amp;NHC_FAR!XEX1&amp;NHC_FAR!XEZ1&amp;NHC_FAR!XEV1,#REF!&amp;#REF!&amp;#REF!&amp;#REF!,0), IFERROR(MATCH(NHC_FAR!XEI1&amp;NHC_FAR!XEX1&amp;NHC_FAR!XEZ1&amp;NHC_FAR!XET1,#REF!&amp;#REF!&amp;#REF!&amp;#REF!,0), IFERROR(MATCH(NHC_FAR!XEI1&amp;NHC_FAR!XEX1&amp;NHC_FAR!XEZ1&amp;NHC_FAR!XEO1,#REF!&amp;#REF!&amp;#REF!&amp;#REF!,0), IFERROR(MATCH(NHC_FAR!XEI1&amp;NHC_FAR!XEX1&amp;NHC_FAR!XEZ1&amp;NHC_FAR!XEM1,#REF!&amp;#REF!&amp;#REF!&amp;#REF!,0), IFERROR(MATCH(NHC_FAR!XEI1&amp;NHC_FAR!XEX1&amp;NHC_FAR!XEZ1&amp;NHC_FAR!XEK1,#REF!&amp;#REF!&amp;#REF!&amp;#REF!,0),"Update needed"))))),6)</definedName>
    <definedName name="NDA">OFFSET(NDAL,1,,COUNTA(NDAL)-1,1)</definedName>
    <definedName name="NDAL">INDEX(#REF!,,2)</definedName>
    <definedName name="No_Imp_Dep_Closing" localSheetId="6">IF(OR(NHC_FAR!$O1=NDA),0,-(NHC_FAR!$AY1-(((NHC_FAR!$AY1-NHC_FAR!#REF!)*NHC_FAR!$AO1/NHC_FAR!$AI1)+NHC_FAR!#REF!)))</definedName>
    <definedName name="No_Imp_Dep_CY" localSheetId="6">NHC_FAR!#REF!-NHC_FAR!$BU1</definedName>
    <definedName name="No_Imp_Dep_Opening" localSheetId="6">IF(OR(NHC_FAR!$O1=NDA),0,-(NHC_FAR!$AY1-(((NHC_FAR!$AY1-NHC_FAR!#REF!)*NHC_FAR!$AO1/NHC_FAR!$AI1)+NHC_FAR!#REF!)))</definedName>
    <definedName name="North_West">#REF!</definedName>
    <definedName name="RUL" localSheetId="6">IF(NHC_FAR!#REF!="NA",IF(NHC_FAR!#REF!="",IFERROR(NHC_FAR!$AI1-(YEARFRAC(NHC_FAR!#REF!,DATE((YEAR(NHC_FAR!$B$3)),6,30)+1,3)),"NA"),IF(NHC_FAR!#REF!="NA","NA",IFERROR(IF(NHC_FAR!#REF!-1&lt;0,0,IF((NHC_FAR!#REF!-1+NHC_FAR!$AI1-NHC_FAR!#REF!)&lt;0,0,IF(OR(NHC_FAR!#REF!={0,""}),NHC_FAR!#REF!-1,(NHC_FAR!#REF!-1+NHC_FAR!$AI1-NHC_FAR!#REF!)))),"NA"))),NHC_FAR!$AN1)</definedName>
    <definedName name="RUL_Con" localSheetId="6">IF(NHC_FAR!$AO1="NA","NA",IF(NHC_FAR!$AO1/NHC_FAR!$AI1&gt;=71%,"1",IF(AND(NHC_FAR!$AO1/NHC_FAR!$AI1&gt;=46%,NHC_FAR!$AO1/NHC_FAR!$AI1&lt;=70%),"2",IF(AND(NHC_FAR!$AO1/NHC_FAR!$AI1&gt;=26%,NHC_FAR!$AO1/NHC_FAR!$AI1&lt;=45%),"3",IF(AND(NHC_FAR!$AO1/NHC_FAR!$AI1&gt;=11%,NHC_FAR!$AO1/NHC_FAR!$AI1&lt;=25%),"4","5")))))</definedName>
    <definedName name="RUL_Group" localSheetId="6">IF(NHC_FAR!$AO1="NA","NA",IF(NHC_FAR!$AO1&lt;=5,"0-5",IF(AND(NHC_FAR!$AO1&gt;5,NHC_FAR!$AO1&lt;=10),"5-10",IF(AND(NHC_FAR!$AO1&gt;10,NHC_FAR!$AO1&lt;=15),"10-15",IF(AND(NHC_FAR!$AO1&gt;15,NHC_FAR!$AO1&lt;=20),"15-20","20+")))))</definedName>
    <definedName name="RULBCC" localSheetId="6">IF(OR(NHC_FAR!$O1=NDA),"NA",IF(NHC_FAR!#REF!&lt;1,0,NHC_FAR!#REF!-1))</definedName>
    <definedName name="RV" localSheetId="6">IFERROR(IF(OR(NHC_FAR!$O1=NDA),"NA",IF(NHC_FAR!$AS1="Deemed cost",NHC_FAR!#REF!*NHC_FAR!#REF!,NHC_FAR!#REF!*NHC_FAR!$AY1)),"ERROR!!!")</definedName>
    <definedName name="RVperc" localSheetId="6">INDEX(#REF!,MATCH(NHC_FAR!$R1,#REF!,0),MATCH("Residual Value (%)",#REF!,0))</definedName>
    <definedName name="Site_extent_unit_measure" localSheetId="6">_xlfn.IFNA(INDEX(#REF!,MATCH(NHC_FAR!$R1,#REF!,0)),"")</definedName>
    <definedName name="Size" localSheetId="6">_xlfn.IFNA(INDEX(#REF!,MATCH(NHC_FAR!$R1,#REF!,0)),"")</definedName>
    <definedName name="Size_unit" localSheetId="6">_xlfn.IFNA(INDEX(#REF!,MATCH(NHC_FAR!$R1,#REF!,0)),"")</definedName>
    <definedName name="TblAccGroup" localSheetId="6">[2]!Table114[#Headers]</definedName>
    <definedName name="TblAssetCategory" localSheetId="6">OFFSET('[2]TAR Model'!TblAssetCategoryList,0,0,COUNTA('[2]TAR Model'!TblAssetCategoryList),1)</definedName>
    <definedName name="TblAssetSubCategory" localSheetId="2" hidden="1">#N/A</definedName>
    <definedName name="TblAssetSubCategory" hidden="1">#N/A</definedName>
    <definedName name="Translator" localSheetId="6">IFERROR(INDEX(#REF!,MATCH(NHC_FAR!$Y1,#REF!,0)),"Update of Mscoa table needed")</definedName>
    <definedName name="UnitRate" localSheetId="6">IF(FAR[[#This Row],[Valuation method]]="Actual cost","NA - Actual Cost",INDEX(INDIRECT(SUBSTITUTE(NHC_FAR!$B$1," ","_",1)),MATCH(NHC_FAR!$R1,#REF!,0)))</definedName>
    <definedName name="URCode" localSheetId="6">IF(OR(NHC_FAR!#REF!={"",0},NHC_FAR!$AS1={"Actual Cost"}),"",_xlfn.IFNA(INDEX(#REF!,MATCH(NHC_FAR!$R1,#REF!,0)),""))</definedName>
    <definedName name="URmeasure" localSheetId="6">IF(OR(NHC_FAR!#REF!={"",0},NHC_FAR!$AS1={"Actual Cost"}),"",_xlfn.IFNA(INDEX(#REF!,MATCH(NHC_FAR!$R1,#REF!,0)),""))</definedName>
  </definedNames>
  <calcPr calcId="191029"/>
  <pivotCaches>
    <pivotCache cacheId="0" r:id="rId1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20" l="1"/>
  <c r="I9" i="20"/>
  <c r="AX548" i="1" l="1"/>
  <c r="AJ548" i="1"/>
  <c r="AK548" i="1" s="1"/>
  <c r="BH548" i="1" s="1"/>
  <c r="AN548" i="1"/>
  <c r="BI549" i="1"/>
  <c r="BR548" i="1"/>
  <c r="BR549" i="1"/>
  <c r="BT548" i="1"/>
  <c r="BT549" i="1"/>
  <c r="AN539" i="1"/>
  <c r="BH539" i="1" s="1"/>
  <c r="BI539" i="1" s="1"/>
  <c r="AN540" i="1"/>
  <c r="BH540" i="1" s="1"/>
  <c r="BI540" i="1" s="1"/>
  <c r="BH546" i="1"/>
  <c r="BM546" i="1" s="1"/>
  <c r="AN547" i="1"/>
  <c r="BH547" i="1" s="1"/>
  <c r="BI547" i="1" s="1"/>
  <c r="AJ547" i="1"/>
  <c r="AK547" i="1" s="1"/>
  <c r="AO547" i="1" s="1"/>
  <c r="BR547" i="1"/>
  <c r="BT547" i="1"/>
  <c r="CE547" i="1"/>
  <c r="C6" i="20"/>
  <c r="I19" i="20"/>
  <c r="D18" i="20"/>
  <c r="I16" i="20"/>
  <c r="D9" i="20"/>
  <c r="D6" i="20"/>
  <c r="D7" i="20"/>
  <c r="C9" i="20"/>
  <c r="BI548" i="1" l="1"/>
  <c r="BM548" i="1"/>
  <c r="BS548" i="1" s="1"/>
  <c r="AO548" i="1"/>
  <c r="BI546" i="1"/>
  <c r="BM547" i="1"/>
  <c r="BS547" i="1" s="1"/>
  <c r="AJ544" i="1" l="1"/>
  <c r="AK544" i="1" s="1"/>
  <c r="AN544" i="1"/>
  <c r="BH544" i="1" s="1"/>
  <c r="BI544" i="1" s="1"/>
  <c r="BR544" i="1"/>
  <c r="BT544" i="1"/>
  <c r="CE544" i="1"/>
  <c r="BR7" i="1"/>
  <c r="BR8" i="1"/>
  <c r="BR9" i="1"/>
  <c r="BR10" i="1"/>
  <c r="BR11" i="1"/>
  <c r="BR12" i="1"/>
  <c r="BR13" i="1"/>
  <c r="BR14" i="1"/>
  <c r="BR15" i="1"/>
  <c r="BR16" i="1"/>
  <c r="BR17" i="1"/>
  <c r="BR18" i="1"/>
  <c r="BR19" i="1"/>
  <c r="BR20" i="1"/>
  <c r="BR21" i="1"/>
  <c r="BR22" i="1"/>
  <c r="BR23" i="1"/>
  <c r="BR24" i="1"/>
  <c r="BR25" i="1"/>
  <c r="BR26" i="1"/>
  <c r="BR27" i="1"/>
  <c r="BR28" i="1"/>
  <c r="BR29" i="1"/>
  <c r="BR30" i="1"/>
  <c r="BR31" i="1"/>
  <c r="BR32" i="1"/>
  <c r="BR33" i="1"/>
  <c r="BR34" i="1"/>
  <c r="BR35" i="1"/>
  <c r="BR36" i="1"/>
  <c r="BR37" i="1"/>
  <c r="BR38" i="1"/>
  <c r="BR39" i="1"/>
  <c r="BR40" i="1"/>
  <c r="BR41" i="1"/>
  <c r="BR42" i="1"/>
  <c r="BR43" i="1"/>
  <c r="BR44" i="1"/>
  <c r="BR45" i="1"/>
  <c r="BR46" i="1"/>
  <c r="BR47" i="1"/>
  <c r="BR48" i="1"/>
  <c r="BR49" i="1"/>
  <c r="BR50" i="1"/>
  <c r="BR51" i="1"/>
  <c r="BR52" i="1"/>
  <c r="BR53" i="1"/>
  <c r="BR54" i="1"/>
  <c r="BR55" i="1"/>
  <c r="BR56" i="1"/>
  <c r="BR57" i="1"/>
  <c r="BR58" i="1"/>
  <c r="BR59" i="1"/>
  <c r="BR60" i="1"/>
  <c r="BR61" i="1"/>
  <c r="BR62" i="1"/>
  <c r="BR63" i="1"/>
  <c r="BR64" i="1"/>
  <c r="BR65" i="1"/>
  <c r="BR66" i="1"/>
  <c r="BR67" i="1"/>
  <c r="BR68" i="1"/>
  <c r="BR69" i="1"/>
  <c r="BR70" i="1"/>
  <c r="BR71" i="1"/>
  <c r="BR72" i="1"/>
  <c r="BR73" i="1"/>
  <c r="BR74" i="1"/>
  <c r="BR75" i="1"/>
  <c r="BR76" i="1"/>
  <c r="BR77" i="1"/>
  <c r="BR78" i="1"/>
  <c r="BR79" i="1"/>
  <c r="BR80" i="1"/>
  <c r="BR81" i="1"/>
  <c r="BR82" i="1"/>
  <c r="BR83" i="1"/>
  <c r="BR84" i="1"/>
  <c r="BR85" i="1"/>
  <c r="BR86" i="1"/>
  <c r="BR87" i="1"/>
  <c r="BR88" i="1"/>
  <c r="BR89" i="1"/>
  <c r="BR90" i="1"/>
  <c r="BR91" i="1"/>
  <c r="BR92" i="1"/>
  <c r="BR93" i="1"/>
  <c r="BR94" i="1"/>
  <c r="BR95" i="1"/>
  <c r="BR96" i="1"/>
  <c r="BR97" i="1"/>
  <c r="BR98" i="1"/>
  <c r="BR99" i="1"/>
  <c r="BR100" i="1"/>
  <c r="BR101" i="1"/>
  <c r="BR102" i="1"/>
  <c r="BR103" i="1"/>
  <c r="BR104" i="1"/>
  <c r="BR105" i="1"/>
  <c r="BR106" i="1"/>
  <c r="BR107" i="1"/>
  <c r="BR108" i="1"/>
  <c r="BR109" i="1"/>
  <c r="BR110" i="1"/>
  <c r="BR111" i="1"/>
  <c r="BR112" i="1"/>
  <c r="BR113" i="1"/>
  <c r="BR114" i="1"/>
  <c r="BR115" i="1"/>
  <c r="BR116" i="1"/>
  <c r="BR117" i="1"/>
  <c r="BR118" i="1"/>
  <c r="BR119" i="1"/>
  <c r="BR120" i="1"/>
  <c r="BR121" i="1"/>
  <c r="BR122" i="1"/>
  <c r="BR123" i="1"/>
  <c r="BR124" i="1"/>
  <c r="BR125" i="1"/>
  <c r="BR126" i="1"/>
  <c r="BR127" i="1"/>
  <c r="BR128" i="1"/>
  <c r="BR129" i="1"/>
  <c r="BR130" i="1"/>
  <c r="BR131" i="1"/>
  <c r="BR132" i="1"/>
  <c r="BR133" i="1"/>
  <c r="BR134" i="1"/>
  <c r="BR135" i="1"/>
  <c r="BR136" i="1"/>
  <c r="BR137" i="1"/>
  <c r="BR138" i="1"/>
  <c r="BR139" i="1"/>
  <c r="BR140" i="1"/>
  <c r="BR141" i="1"/>
  <c r="BR142" i="1"/>
  <c r="BR143" i="1"/>
  <c r="BR144" i="1"/>
  <c r="BR145" i="1"/>
  <c r="BR146" i="1"/>
  <c r="BR147" i="1"/>
  <c r="BR148" i="1"/>
  <c r="BR149" i="1"/>
  <c r="BR150" i="1"/>
  <c r="BR151" i="1"/>
  <c r="BR152" i="1"/>
  <c r="BR153" i="1"/>
  <c r="BR154" i="1"/>
  <c r="BR155" i="1"/>
  <c r="BR156" i="1"/>
  <c r="BR157" i="1"/>
  <c r="BR158" i="1"/>
  <c r="BR159" i="1"/>
  <c r="BR160" i="1"/>
  <c r="BR161" i="1"/>
  <c r="BR162" i="1"/>
  <c r="BR163" i="1"/>
  <c r="BR164" i="1"/>
  <c r="BR165" i="1"/>
  <c r="BR166" i="1"/>
  <c r="BR167" i="1"/>
  <c r="BR168" i="1"/>
  <c r="BR169" i="1"/>
  <c r="BR170" i="1"/>
  <c r="BR171" i="1"/>
  <c r="BR172" i="1"/>
  <c r="BR173" i="1"/>
  <c r="BR174" i="1"/>
  <c r="BR175" i="1"/>
  <c r="BR176" i="1"/>
  <c r="BR177" i="1"/>
  <c r="BR178" i="1"/>
  <c r="BR179" i="1"/>
  <c r="BR180" i="1"/>
  <c r="BR181" i="1"/>
  <c r="BR182" i="1"/>
  <c r="BR183" i="1"/>
  <c r="BR184" i="1"/>
  <c r="BR185" i="1"/>
  <c r="BR186" i="1"/>
  <c r="BR187" i="1"/>
  <c r="BR188" i="1"/>
  <c r="BR189" i="1"/>
  <c r="BR190" i="1"/>
  <c r="BR191" i="1"/>
  <c r="BR192" i="1"/>
  <c r="BR193" i="1"/>
  <c r="BR194" i="1"/>
  <c r="BR195" i="1"/>
  <c r="BR196" i="1"/>
  <c r="BR197" i="1"/>
  <c r="BR198" i="1"/>
  <c r="BR199" i="1"/>
  <c r="BR200" i="1"/>
  <c r="BR201" i="1"/>
  <c r="BR202" i="1"/>
  <c r="BR203" i="1"/>
  <c r="BR204" i="1"/>
  <c r="BR205" i="1"/>
  <c r="BR206" i="1"/>
  <c r="BR207" i="1"/>
  <c r="BR208" i="1"/>
  <c r="BR209" i="1"/>
  <c r="BR210" i="1"/>
  <c r="BR211" i="1"/>
  <c r="BR212" i="1"/>
  <c r="BR213" i="1"/>
  <c r="BR214" i="1"/>
  <c r="BR215" i="1"/>
  <c r="BR216" i="1"/>
  <c r="BR217" i="1"/>
  <c r="BR218" i="1"/>
  <c r="BR219" i="1"/>
  <c r="BR220" i="1"/>
  <c r="BR221" i="1"/>
  <c r="BR222" i="1"/>
  <c r="BR223" i="1"/>
  <c r="BR224" i="1"/>
  <c r="BR225" i="1"/>
  <c r="BR226" i="1"/>
  <c r="BR227" i="1"/>
  <c r="BR228" i="1"/>
  <c r="BR229" i="1"/>
  <c r="BR230" i="1"/>
  <c r="BR231" i="1"/>
  <c r="BR232" i="1"/>
  <c r="BR233" i="1"/>
  <c r="BR234" i="1"/>
  <c r="BR235" i="1"/>
  <c r="BR236" i="1"/>
  <c r="BR237" i="1"/>
  <c r="BR238" i="1"/>
  <c r="BR239" i="1"/>
  <c r="BR240" i="1"/>
  <c r="BR241" i="1"/>
  <c r="BR242" i="1"/>
  <c r="BR243" i="1"/>
  <c r="BR244" i="1"/>
  <c r="BR245" i="1"/>
  <c r="BR246" i="1"/>
  <c r="BR247" i="1"/>
  <c r="BR248" i="1"/>
  <c r="BR249" i="1"/>
  <c r="BR250" i="1"/>
  <c r="BR251" i="1"/>
  <c r="BR252" i="1"/>
  <c r="BR253" i="1"/>
  <c r="BR254" i="1"/>
  <c r="BR255" i="1"/>
  <c r="BR256" i="1"/>
  <c r="BR257" i="1"/>
  <c r="BR258" i="1"/>
  <c r="BR259" i="1"/>
  <c r="BR260" i="1"/>
  <c r="BR261" i="1"/>
  <c r="BR262" i="1"/>
  <c r="BR263" i="1"/>
  <c r="BR264" i="1"/>
  <c r="BR265" i="1"/>
  <c r="BR266" i="1"/>
  <c r="BR267" i="1"/>
  <c r="BR268" i="1"/>
  <c r="BR269" i="1"/>
  <c r="BR270" i="1"/>
  <c r="BR271" i="1"/>
  <c r="BR272" i="1"/>
  <c r="BR273" i="1"/>
  <c r="BR274" i="1"/>
  <c r="BR275" i="1"/>
  <c r="BR276" i="1"/>
  <c r="BR277" i="1"/>
  <c r="BR278" i="1"/>
  <c r="BR279" i="1"/>
  <c r="BR280" i="1"/>
  <c r="BR281" i="1"/>
  <c r="BR282" i="1"/>
  <c r="BR283" i="1"/>
  <c r="BR284" i="1"/>
  <c r="BR285" i="1"/>
  <c r="BR286" i="1"/>
  <c r="BR287" i="1"/>
  <c r="BR288" i="1"/>
  <c r="BR289" i="1"/>
  <c r="BR290" i="1"/>
  <c r="BR291" i="1"/>
  <c r="BR292" i="1"/>
  <c r="BR293" i="1"/>
  <c r="BR294" i="1"/>
  <c r="BR295" i="1"/>
  <c r="BR296" i="1"/>
  <c r="BR297" i="1"/>
  <c r="BR298" i="1"/>
  <c r="BR299" i="1"/>
  <c r="BR300" i="1"/>
  <c r="BR301" i="1"/>
  <c r="BR302" i="1"/>
  <c r="BR303" i="1"/>
  <c r="BR304" i="1"/>
  <c r="BR305" i="1"/>
  <c r="BR306" i="1"/>
  <c r="BR307" i="1"/>
  <c r="BR308" i="1"/>
  <c r="BR309" i="1"/>
  <c r="BR310" i="1"/>
  <c r="BR311" i="1"/>
  <c r="BR312" i="1"/>
  <c r="BR313" i="1"/>
  <c r="BR314" i="1"/>
  <c r="BR315" i="1"/>
  <c r="BR316" i="1"/>
  <c r="BR317" i="1"/>
  <c r="BR318" i="1"/>
  <c r="BR319" i="1"/>
  <c r="BR320" i="1"/>
  <c r="BR321" i="1"/>
  <c r="BR322" i="1"/>
  <c r="BR323" i="1"/>
  <c r="BR324" i="1"/>
  <c r="BR325" i="1"/>
  <c r="BR326" i="1"/>
  <c r="BR327" i="1"/>
  <c r="BR328" i="1"/>
  <c r="BR329" i="1"/>
  <c r="BR330" i="1"/>
  <c r="BR331" i="1"/>
  <c r="BR332" i="1"/>
  <c r="BR333" i="1"/>
  <c r="BR334" i="1"/>
  <c r="BR335" i="1"/>
  <c r="BR336" i="1"/>
  <c r="BR337" i="1"/>
  <c r="BR338" i="1"/>
  <c r="BR339" i="1"/>
  <c r="BR340" i="1"/>
  <c r="BR341" i="1"/>
  <c r="BR342" i="1"/>
  <c r="BR343" i="1"/>
  <c r="BR344" i="1"/>
  <c r="BR345" i="1"/>
  <c r="BR346" i="1"/>
  <c r="BR347" i="1"/>
  <c r="BR348" i="1"/>
  <c r="BR349" i="1"/>
  <c r="BR351" i="1"/>
  <c r="BR352" i="1"/>
  <c r="BR353" i="1"/>
  <c r="BR354" i="1"/>
  <c r="BR355" i="1"/>
  <c r="BR356" i="1"/>
  <c r="BR357" i="1"/>
  <c r="BR358" i="1"/>
  <c r="BR359" i="1"/>
  <c r="BR360" i="1"/>
  <c r="BR361" i="1"/>
  <c r="BR362" i="1"/>
  <c r="BR363" i="1"/>
  <c r="BR364" i="1"/>
  <c r="BR365" i="1"/>
  <c r="BR366" i="1"/>
  <c r="BR367" i="1"/>
  <c r="BR368" i="1"/>
  <c r="BR369" i="1"/>
  <c r="BR370" i="1"/>
  <c r="BR371" i="1"/>
  <c r="BR372" i="1"/>
  <c r="BR373" i="1"/>
  <c r="BR374" i="1"/>
  <c r="BR375" i="1"/>
  <c r="BR376" i="1"/>
  <c r="BR377" i="1"/>
  <c r="BR378" i="1"/>
  <c r="BR379" i="1"/>
  <c r="BR380" i="1"/>
  <c r="BR381" i="1"/>
  <c r="BR382" i="1"/>
  <c r="BR383" i="1"/>
  <c r="BR384" i="1"/>
  <c r="BR385" i="1"/>
  <c r="BR386" i="1"/>
  <c r="BR387" i="1"/>
  <c r="BR388" i="1"/>
  <c r="BR389" i="1"/>
  <c r="BR390" i="1"/>
  <c r="BR391" i="1"/>
  <c r="BR392" i="1"/>
  <c r="BR393" i="1"/>
  <c r="BR394" i="1"/>
  <c r="BR395" i="1"/>
  <c r="BR396" i="1"/>
  <c r="BR397" i="1"/>
  <c r="BR398" i="1"/>
  <c r="BR399" i="1"/>
  <c r="BR400" i="1"/>
  <c r="BR401" i="1"/>
  <c r="BR402" i="1"/>
  <c r="BR403" i="1"/>
  <c r="BR404" i="1"/>
  <c r="BR405" i="1"/>
  <c r="BR406" i="1"/>
  <c r="BR407" i="1"/>
  <c r="BR408" i="1"/>
  <c r="BR409" i="1"/>
  <c r="BR410" i="1"/>
  <c r="BR411" i="1"/>
  <c r="BR412" i="1"/>
  <c r="BR413" i="1"/>
  <c r="BR414" i="1"/>
  <c r="BR415" i="1"/>
  <c r="BR416" i="1"/>
  <c r="BR417" i="1"/>
  <c r="BR418" i="1"/>
  <c r="BR419" i="1"/>
  <c r="BR420" i="1"/>
  <c r="BR421" i="1"/>
  <c r="BR422" i="1"/>
  <c r="BR423" i="1"/>
  <c r="BR424" i="1"/>
  <c r="BR425" i="1"/>
  <c r="BR426" i="1"/>
  <c r="BR427" i="1"/>
  <c r="BR428" i="1"/>
  <c r="BR429" i="1"/>
  <c r="BR430" i="1"/>
  <c r="BR431" i="1"/>
  <c r="BR432" i="1"/>
  <c r="BR433" i="1"/>
  <c r="BR434" i="1"/>
  <c r="BR435" i="1"/>
  <c r="BR436" i="1"/>
  <c r="BR437" i="1"/>
  <c r="BR438" i="1"/>
  <c r="BR439" i="1"/>
  <c r="BR440" i="1"/>
  <c r="BR441" i="1"/>
  <c r="BR442" i="1"/>
  <c r="BR443" i="1"/>
  <c r="BR444" i="1"/>
  <c r="BR445" i="1"/>
  <c r="BR446" i="1"/>
  <c r="BR447" i="1"/>
  <c r="BR448" i="1"/>
  <c r="BR449" i="1"/>
  <c r="BR450" i="1"/>
  <c r="BR451" i="1"/>
  <c r="BR452" i="1"/>
  <c r="BR453" i="1"/>
  <c r="BR454" i="1"/>
  <c r="BR455" i="1"/>
  <c r="BR456" i="1"/>
  <c r="BR457" i="1"/>
  <c r="BR458" i="1"/>
  <c r="BR459" i="1"/>
  <c r="BR460" i="1"/>
  <c r="BR461" i="1"/>
  <c r="BR463" i="1"/>
  <c r="BR464" i="1"/>
  <c r="BR465" i="1"/>
  <c r="BR466" i="1"/>
  <c r="BR467" i="1"/>
  <c r="BR468" i="1"/>
  <c r="BR469" i="1"/>
  <c r="BR470" i="1"/>
  <c r="BR471" i="1"/>
  <c r="BR472" i="1"/>
  <c r="BR473" i="1"/>
  <c r="BR474" i="1"/>
  <c r="BR475" i="1"/>
  <c r="BR476" i="1"/>
  <c r="BR477" i="1"/>
  <c r="BR478" i="1"/>
  <c r="BR480" i="1"/>
  <c r="BR481" i="1"/>
  <c r="BR482" i="1"/>
  <c r="BR483" i="1"/>
  <c r="BR484" i="1"/>
  <c r="BR485" i="1"/>
  <c r="BR486" i="1"/>
  <c r="BR487" i="1"/>
  <c r="BR488" i="1"/>
  <c r="BR489" i="1"/>
  <c r="BR490" i="1"/>
  <c r="BR491" i="1"/>
  <c r="BR492" i="1"/>
  <c r="BR493" i="1"/>
  <c r="BR494" i="1"/>
  <c r="BR495" i="1"/>
  <c r="BR496" i="1"/>
  <c r="BR497" i="1"/>
  <c r="BR498" i="1"/>
  <c r="BR499" i="1"/>
  <c r="BR500" i="1"/>
  <c r="BR501" i="1"/>
  <c r="BR502" i="1"/>
  <c r="BR503" i="1"/>
  <c r="BR504" i="1"/>
  <c r="BR505" i="1"/>
  <c r="BR506" i="1"/>
  <c r="BR507" i="1"/>
  <c r="BR508" i="1"/>
  <c r="BR509" i="1"/>
  <c r="BR510" i="1"/>
  <c r="BR511" i="1"/>
  <c r="BR512" i="1"/>
  <c r="BR513" i="1"/>
  <c r="BR514" i="1"/>
  <c r="BR515" i="1"/>
  <c r="BR516" i="1"/>
  <c r="BR517" i="1"/>
  <c r="BR518" i="1"/>
  <c r="BR519" i="1"/>
  <c r="BR520" i="1"/>
  <c r="BR521" i="1"/>
  <c r="BR522" i="1"/>
  <c r="BR523" i="1"/>
  <c r="BR524" i="1"/>
  <c r="BR525" i="1"/>
  <c r="BR526" i="1"/>
  <c r="BR527" i="1"/>
  <c r="BR528" i="1"/>
  <c r="BR529" i="1"/>
  <c r="BR530" i="1"/>
  <c r="BR531" i="1"/>
  <c r="BR532" i="1"/>
  <c r="BR533" i="1"/>
  <c r="BR534" i="1"/>
  <c r="BR535" i="1"/>
  <c r="BR536" i="1"/>
  <c r="BR537" i="1"/>
  <c r="BR538" i="1"/>
  <c r="BR539" i="1"/>
  <c r="BR540" i="1"/>
  <c r="BR542" i="1"/>
  <c r="BR543" i="1"/>
  <c r="BR545" i="1"/>
  <c r="BR546" i="1"/>
  <c r="BS546" i="1" s="1"/>
  <c r="BM544" i="1" l="1"/>
  <c r="BS544" i="1" s="1"/>
  <c r="AO544" i="1"/>
  <c r="AJ539" i="1"/>
  <c r="AK539" i="1" s="1"/>
  <c r="AO539" i="1" s="1"/>
  <c r="CE539" i="1"/>
  <c r="AJ540" i="1"/>
  <c r="AK540" i="1" s="1"/>
  <c r="AO540" i="1" s="1"/>
  <c r="BM539" i="1" l="1"/>
  <c r="BS539" i="1" s="1"/>
  <c r="BM540" i="1"/>
  <c r="BS540" i="1" s="1"/>
  <c r="CE546" i="1" l="1"/>
  <c r="CE540" i="1"/>
  <c r="AJ541" i="1"/>
  <c r="AK541" i="1" s="1"/>
  <c r="AN541" i="1"/>
  <c r="BH541" i="1" s="1"/>
  <c r="BI541" i="1" s="1"/>
  <c r="BT541" i="1"/>
  <c r="CE541" i="1"/>
  <c r="AJ542" i="1"/>
  <c r="AK542" i="1" s="1"/>
  <c r="AN542" i="1"/>
  <c r="BH542" i="1" s="1"/>
  <c r="BI542" i="1" s="1"/>
  <c r="BT542" i="1"/>
  <c r="CE542" i="1"/>
  <c r="AJ543" i="1"/>
  <c r="AK543" i="1" s="1"/>
  <c r="AN543" i="1"/>
  <c r="BH543" i="1" s="1"/>
  <c r="BI543" i="1" s="1"/>
  <c r="BT543" i="1"/>
  <c r="CE543" i="1"/>
  <c r="AJ545" i="1"/>
  <c r="AK545" i="1" s="1"/>
  <c r="AN545" i="1"/>
  <c r="BH545" i="1" s="1"/>
  <c r="BI545" i="1" s="1"/>
  <c r="BT545" i="1"/>
  <c r="CE545" i="1"/>
  <c r="AO541" i="1" l="1"/>
  <c r="BM541" i="1"/>
  <c r="BS541" i="1" s="1"/>
  <c r="AO545" i="1"/>
  <c r="BM545" i="1"/>
  <c r="BS545" i="1" s="1"/>
  <c r="AO543" i="1"/>
  <c r="BM543" i="1"/>
  <c r="BS543" i="1" s="1"/>
  <c r="AO542" i="1"/>
  <c r="BM542" i="1"/>
  <c r="BS542" i="1" s="1"/>
  <c r="AX383" i="1"/>
  <c r="AS550" i="1"/>
  <c r="AT550" i="1"/>
  <c r="AU550" i="1"/>
  <c r="AW550" i="1"/>
  <c r="AY550" i="1"/>
  <c r="AZ550" i="1"/>
  <c r="BA550" i="1"/>
  <c r="BB550" i="1"/>
  <c r="BC550" i="1"/>
  <c r="BD550" i="1"/>
  <c r="BE550" i="1"/>
  <c r="BF550" i="1"/>
  <c r="BG550" i="1"/>
  <c r="BJ550" i="1"/>
  <c r="BK550" i="1"/>
  <c r="BL550" i="1"/>
  <c r="BN550" i="1"/>
  <c r="BO550" i="1"/>
  <c r="BP550" i="1"/>
  <c r="BQ550" i="1"/>
  <c r="BR550" i="1"/>
  <c r="AN499" i="1"/>
  <c r="BH499" i="1" s="1"/>
  <c r="BI499" i="1" s="1"/>
  <c r="AN500" i="1"/>
  <c r="BH500" i="1" s="1"/>
  <c r="BI500" i="1" s="1"/>
  <c r="AN501" i="1"/>
  <c r="BH501" i="1" s="1"/>
  <c r="BI501" i="1" s="1"/>
  <c r="AN502" i="1"/>
  <c r="BH502" i="1" s="1"/>
  <c r="BI502" i="1" s="1"/>
  <c r="AN503" i="1"/>
  <c r="BH503" i="1" s="1"/>
  <c r="BI503" i="1" s="1"/>
  <c r="AN504" i="1"/>
  <c r="BH504" i="1" s="1"/>
  <c r="BI504" i="1" s="1"/>
  <c r="AN505" i="1"/>
  <c r="BH505" i="1" s="1"/>
  <c r="BI505" i="1" s="1"/>
  <c r="AN506" i="1"/>
  <c r="BH506" i="1" s="1"/>
  <c r="BI506" i="1" s="1"/>
  <c r="AN507" i="1"/>
  <c r="BH507" i="1" s="1"/>
  <c r="BI507" i="1" s="1"/>
  <c r="AN508" i="1"/>
  <c r="BH508" i="1" s="1"/>
  <c r="BI508" i="1" s="1"/>
  <c r="AN509" i="1"/>
  <c r="BH509" i="1" s="1"/>
  <c r="BI509" i="1" s="1"/>
  <c r="AN510" i="1"/>
  <c r="BH510" i="1" s="1"/>
  <c r="BI510" i="1" s="1"/>
  <c r="AN511" i="1"/>
  <c r="BH511" i="1" s="1"/>
  <c r="BI511" i="1" s="1"/>
  <c r="AN512" i="1"/>
  <c r="BH512" i="1" s="1"/>
  <c r="BI512" i="1" s="1"/>
  <c r="AN513" i="1"/>
  <c r="BH513" i="1" s="1"/>
  <c r="BI513" i="1" s="1"/>
  <c r="AN514" i="1"/>
  <c r="BH514" i="1" s="1"/>
  <c r="BI514" i="1" s="1"/>
  <c r="AN515" i="1"/>
  <c r="BH515" i="1" s="1"/>
  <c r="BI515" i="1" s="1"/>
  <c r="AN516" i="1"/>
  <c r="BH516" i="1" s="1"/>
  <c r="BI516" i="1" s="1"/>
  <c r="AN517" i="1"/>
  <c r="BH517" i="1" s="1"/>
  <c r="BI517" i="1" s="1"/>
  <c r="AN518" i="1"/>
  <c r="BH518" i="1" s="1"/>
  <c r="BI518" i="1" s="1"/>
  <c r="AN519" i="1"/>
  <c r="BH519" i="1" s="1"/>
  <c r="BI519" i="1" s="1"/>
  <c r="AN520" i="1"/>
  <c r="BH520" i="1" s="1"/>
  <c r="BI520" i="1" s="1"/>
  <c r="AN521" i="1"/>
  <c r="BH521" i="1" s="1"/>
  <c r="BI521" i="1" s="1"/>
  <c r="AN522" i="1"/>
  <c r="BH522" i="1" s="1"/>
  <c r="BI522" i="1" s="1"/>
  <c r="AN523" i="1"/>
  <c r="BH523" i="1" s="1"/>
  <c r="BI523" i="1" s="1"/>
  <c r="AN524" i="1"/>
  <c r="BH524" i="1" s="1"/>
  <c r="BI524" i="1" s="1"/>
  <c r="AN525" i="1"/>
  <c r="BH525" i="1" s="1"/>
  <c r="BI525" i="1" s="1"/>
  <c r="AN526" i="1"/>
  <c r="BH526" i="1" s="1"/>
  <c r="BI526" i="1" s="1"/>
  <c r="AN527" i="1"/>
  <c r="BH527" i="1" s="1"/>
  <c r="BI527" i="1" s="1"/>
  <c r="AN528" i="1"/>
  <c r="BH528" i="1" s="1"/>
  <c r="BI528" i="1" s="1"/>
  <c r="AN529" i="1"/>
  <c r="BH529" i="1" s="1"/>
  <c r="BI529" i="1" s="1"/>
  <c r="AN530" i="1"/>
  <c r="BH530" i="1" s="1"/>
  <c r="BI530" i="1" s="1"/>
  <c r="AN531" i="1"/>
  <c r="BH531" i="1" s="1"/>
  <c r="BI531" i="1" s="1"/>
  <c r="AN532" i="1"/>
  <c r="BH532" i="1" s="1"/>
  <c r="BI532" i="1" s="1"/>
  <c r="AN533" i="1"/>
  <c r="BH533" i="1" s="1"/>
  <c r="BI533" i="1" s="1"/>
  <c r="AN534" i="1"/>
  <c r="BH534" i="1" s="1"/>
  <c r="BI534" i="1" s="1"/>
  <c r="AN535" i="1"/>
  <c r="BH535" i="1" s="1"/>
  <c r="BI535" i="1" s="1"/>
  <c r="AN536" i="1"/>
  <c r="BH536" i="1" s="1"/>
  <c r="BI536" i="1" s="1"/>
  <c r="AN537" i="1"/>
  <c r="BH537" i="1" s="1"/>
  <c r="BI537" i="1" s="1"/>
  <c r="AN538" i="1"/>
  <c r="BH538" i="1" s="1"/>
  <c r="AN498" i="1"/>
  <c r="BH498" i="1" s="1"/>
  <c r="BI498" i="1" s="1"/>
  <c r="AJ499" i="1"/>
  <c r="AK499" i="1" s="1"/>
  <c r="AO499" i="1" s="1"/>
  <c r="AJ500" i="1"/>
  <c r="AK500" i="1" s="1"/>
  <c r="AJ501" i="1"/>
  <c r="AK501" i="1" s="1"/>
  <c r="AO501" i="1" s="1"/>
  <c r="AJ502" i="1"/>
  <c r="AK502" i="1" s="1"/>
  <c r="AJ503" i="1"/>
  <c r="AK503" i="1" s="1"/>
  <c r="BM503" i="1" s="1"/>
  <c r="BS503" i="1" s="1"/>
  <c r="AJ504" i="1"/>
  <c r="AK504" i="1" s="1"/>
  <c r="AJ505" i="1"/>
  <c r="AK505" i="1" s="1"/>
  <c r="AJ506" i="1"/>
  <c r="AK506" i="1" s="1"/>
  <c r="AJ507" i="1"/>
  <c r="AK507" i="1" s="1"/>
  <c r="AJ508" i="1"/>
  <c r="AK508" i="1" s="1"/>
  <c r="AO508" i="1" s="1"/>
  <c r="AJ509" i="1"/>
  <c r="AK509" i="1" s="1"/>
  <c r="AJ510" i="1"/>
  <c r="AK510" i="1" s="1"/>
  <c r="AJ511" i="1"/>
  <c r="AK511" i="1" s="1"/>
  <c r="AJ512" i="1"/>
  <c r="AK512" i="1" s="1"/>
  <c r="AJ513" i="1"/>
  <c r="AK513" i="1" s="1"/>
  <c r="AJ514" i="1"/>
  <c r="AK514" i="1" s="1"/>
  <c r="AJ515" i="1"/>
  <c r="AK515" i="1" s="1"/>
  <c r="AJ516" i="1"/>
  <c r="AK516" i="1" s="1"/>
  <c r="AO516" i="1" s="1"/>
  <c r="AJ517" i="1"/>
  <c r="AK517" i="1" s="1"/>
  <c r="AJ518" i="1"/>
  <c r="AK518" i="1" s="1"/>
  <c r="AJ519" i="1"/>
  <c r="AK519" i="1" s="1"/>
  <c r="AJ520" i="1"/>
  <c r="AK520" i="1" s="1"/>
  <c r="AJ521" i="1"/>
  <c r="AK521" i="1" s="1"/>
  <c r="AJ522" i="1"/>
  <c r="AK522" i="1" s="1"/>
  <c r="AJ523" i="1"/>
  <c r="AK523" i="1" s="1"/>
  <c r="AJ524" i="1"/>
  <c r="AK524" i="1" s="1"/>
  <c r="AJ525" i="1"/>
  <c r="AK525" i="1" s="1"/>
  <c r="AJ526" i="1"/>
  <c r="AK526" i="1" s="1"/>
  <c r="AJ527" i="1"/>
  <c r="AK527" i="1" s="1"/>
  <c r="AJ528" i="1"/>
  <c r="AK528" i="1" s="1"/>
  <c r="AJ529" i="1"/>
  <c r="AK529" i="1" s="1"/>
  <c r="AJ530" i="1"/>
  <c r="AK530" i="1" s="1"/>
  <c r="AJ531" i="1"/>
  <c r="AK531" i="1" s="1"/>
  <c r="AJ532" i="1"/>
  <c r="AK532" i="1" s="1"/>
  <c r="AJ533" i="1"/>
  <c r="AK533" i="1" s="1"/>
  <c r="AJ534" i="1"/>
  <c r="AK534" i="1" s="1"/>
  <c r="AJ535" i="1"/>
  <c r="AK535" i="1" s="1"/>
  <c r="AJ536" i="1"/>
  <c r="AK536" i="1" s="1"/>
  <c r="AJ537" i="1"/>
  <c r="AK537" i="1" s="1"/>
  <c r="AJ538" i="1"/>
  <c r="AK538" i="1" s="1"/>
  <c r="AO538" i="1" s="1"/>
  <c r="AJ498" i="1"/>
  <c r="AK498" i="1" s="1"/>
  <c r="B521" i="1"/>
  <c r="B520" i="1"/>
  <c r="G17" i="20"/>
  <c r="BM518" i="1" l="1"/>
  <c r="BS518" i="1" s="1"/>
  <c r="BM530" i="1"/>
  <c r="BS530" i="1" s="1"/>
  <c r="BM522" i="1"/>
  <c r="BS522" i="1" s="1"/>
  <c r="BM506" i="1"/>
  <c r="BS506" i="1" s="1"/>
  <c r="BM538" i="1"/>
  <c r="BS538" i="1" s="1"/>
  <c r="BI538" i="1"/>
  <c r="BM534" i="1"/>
  <c r="BS534" i="1" s="1"/>
  <c r="BM532" i="1"/>
  <c r="BS532" i="1" s="1"/>
  <c r="BM524" i="1"/>
  <c r="BS524" i="1" s="1"/>
  <c r="BM526" i="1"/>
  <c r="BS526" i="1" s="1"/>
  <c r="AO526" i="1"/>
  <c r="AO510" i="1"/>
  <c r="BM510" i="1"/>
  <c r="BS510" i="1" s="1"/>
  <c r="AO514" i="1"/>
  <c r="BM514" i="1"/>
  <c r="BS514" i="1" s="1"/>
  <c r="BM501" i="1"/>
  <c r="BS501" i="1" s="1"/>
  <c r="AO534" i="1"/>
  <c r="AO518" i="1"/>
  <c r="AO503" i="1"/>
  <c r="AO529" i="1"/>
  <c r="BM529" i="1"/>
  <c r="BS529" i="1" s="1"/>
  <c r="AO513" i="1"/>
  <c r="BM513" i="1"/>
  <c r="BS513" i="1" s="1"/>
  <c r="BM528" i="1"/>
  <c r="BS528" i="1" s="1"/>
  <c r="AO528" i="1"/>
  <c r="AO517" i="1"/>
  <c r="BM517" i="1"/>
  <c r="BS517" i="1" s="1"/>
  <c r="BM509" i="1"/>
  <c r="BS509" i="1" s="1"/>
  <c r="AO509" i="1"/>
  <c r="BM502" i="1"/>
  <c r="BS502" i="1" s="1"/>
  <c r="AO502" i="1"/>
  <c r="AO505" i="1"/>
  <c r="BM505" i="1"/>
  <c r="BS505" i="1" s="1"/>
  <c r="BM536" i="1"/>
  <c r="BS536" i="1" s="1"/>
  <c r="AO536" i="1"/>
  <c r="BM527" i="1"/>
  <c r="BS527" i="1" s="1"/>
  <c r="AO527" i="1"/>
  <c r="BM511" i="1"/>
  <c r="BS511" i="1" s="1"/>
  <c r="AO511" i="1"/>
  <c r="BM504" i="1"/>
  <c r="BS504" i="1" s="1"/>
  <c r="AO504" i="1"/>
  <c r="AO498" i="1"/>
  <c r="BM498" i="1"/>
  <c r="BS498" i="1" s="1"/>
  <c r="AO523" i="1"/>
  <c r="BM523" i="1"/>
  <c r="BS523" i="1" s="1"/>
  <c r="BM507" i="1"/>
  <c r="BS507" i="1" s="1"/>
  <c r="AO507" i="1"/>
  <c r="BM500" i="1"/>
  <c r="BS500" i="1" s="1"/>
  <c r="AO500" i="1"/>
  <c r="BM537" i="1"/>
  <c r="BS537" i="1" s="1"/>
  <c r="AO537" i="1"/>
  <c r="BM521" i="1"/>
  <c r="BS521" i="1" s="1"/>
  <c r="AO521" i="1"/>
  <c r="AO520" i="1"/>
  <c r="BM520" i="1"/>
  <c r="BS520" i="1" s="1"/>
  <c r="BM512" i="1"/>
  <c r="BS512" i="1" s="1"/>
  <c r="AO512" i="1"/>
  <c r="BM535" i="1"/>
  <c r="BS535" i="1" s="1"/>
  <c r="AO535" i="1"/>
  <c r="AO519" i="1"/>
  <c r="BM519" i="1"/>
  <c r="BS519" i="1" s="1"/>
  <c r="AO533" i="1"/>
  <c r="BM533" i="1"/>
  <c r="BS533" i="1" s="1"/>
  <c r="BM525" i="1"/>
  <c r="BS525" i="1" s="1"/>
  <c r="AO525" i="1"/>
  <c r="BM531" i="1"/>
  <c r="BS531" i="1" s="1"/>
  <c r="AO531" i="1"/>
  <c r="BM515" i="1"/>
  <c r="BS515" i="1" s="1"/>
  <c r="AO515" i="1"/>
  <c r="BM499" i="1"/>
  <c r="BS499" i="1" s="1"/>
  <c r="BM516" i="1"/>
  <c r="BS516" i="1" s="1"/>
  <c r="BM508" i="1"/>
  <c r="BS508" i="1" s="1"/>
  <c r="AO532" i="1"/>
  <c r="AO524" i="1"/>
  <c r="AO530" i="1"/>
  <c r="AO522" i="1"/>
  <c r="AO506" i="1"/>
  <c r="BT498" i="1"/>
  <c r="BT499" i="1"/>
  <c r="BT500" i="1"/>
  <c r="BT501" i="1"/>
  <c r="BT502" i="1"/>
  <c r="BT503" i="1"/>
  <c r="BT504" i="1"/>
  <c r="BT505" i="1"/>
  <c r="BT506" i="1"/>
  <c r="BT507" i="1"/>
  <c r="BT508" i="1"/>
  <c r="BT509" i="1"/>
  <c r="BT510" i="1"/>
  <c r="BT511" i="1"/>
  <c r="BT512" i="1"/>
  <c r="BT513" i="1"/>
  <c r="BT514" i="1"/>
  <c r="BT515" i="1"/>
  <c r="BT516" i="1"/>
  <c r="BT517" i="1"/>
  <c r="BT518" i="1"/>
  <c r="BT519" i="1"/>
  <c r="BT520" i="1"/>
  <c r="BT521" i="1"/>
  <c r="BT522" i="1"/>
  <c r="BT523" i="1"/>
  <c r="BT524" i="1"/>
  <c r="BT525" i="1"/>
  <c r="BT526" i="1"/>
  <c r="BT527" i="1"/>
  <c r="BT528" i="1"/>
  <c r="BT529" i="1"/>
  <c r="BT530" i="1"/>
  <c r="BT531" i="1"/>
  <c r="BT532" i="1"/>
  <c r="BT533" i="1"/>
  <c r="BT534" i="1"/>
  <c r="BT535" i="1"/>
  <c r="BT536" i="1"/>
  <c r="BT537" i="1"/>
  <c r="BT538" i="1"/>
  <c r="CE498" i="1"/>
  <c r="CE499" i="1"/>
  <c r="CE500" i="1"/>
  <c r="CE501" i="1"/>
  <c r="CE502" i="1"/>
  <c r="CE503" i="1"/>
  <c r="CE504" i="1"/>
  <c r="CE505" i="1"/>
  <c r="CE506" i="1"/>
  <c r="CE507" i="1"/>
  <c r="CE508" i="1"/>
  <c r="CE509" i="1"/>
  <c r="CE510" i="1"/>
  <c r="CE511" i="1"/>
  <c r="CE512" i="1"/>
  <c r="CE513" i="1"/>
  <c r="CE514" i="1"/>
  <c r="CE515" i="1"/>
  <c r="CE516" i="1"/>
  <c r="CE517" i="1"/>
  <c r="CE518" i="1"/>
  <c r="CE519" i="1"/>
  <c r="CE520" i="1"/>
  <c r="CE521" i="1"/>
  <c r="CE522" i="1"/>
  <c r="CE523" i="1"/>
  <c r="CE524" i="1"/>
  <c r="CE525" i="1"/>
  <c r="CE526" i="1"/>
  <c r="CE527" i="1"/>
  <c r="CE528" i="1"/>
  <c r="CE529" i="1"/>
  <c r="CE530" i="1"/>
  <c r="CE531" i="1"/>
  <c r="CE532" i="1"/>
  <c r="CE533" i="1"/>
  <c r="CE534" i="1"/>
  <c r="CE535" i="1"/>
  <c r="CE536" i="1"/>
  <c r="CE537" i="1"/>
  <c r="CE538" i="1"/>
  <c r="BH364" i="1"/>
  <c r="AN8" i="1"/>
  <c r="BH8" i="1" s="1"/>
  <c r="AN9" i="1"/>
  <c r="BH9" i="1" s="1"/>
  <c r="AN10" i="1"/>
  <c r="BH10" i="1" s="1"/>
  <c r="AN11" i="1"/>
  <c r="BH11" i="1" s="1"/>
  <c r="AN12" i="1"/>
  <c r="BH12" i="1" s="1"/>
  <c r="AN13" i="1"/>
  <c r="BH13" i="1" s="1"/>
  <c r="AN14" i="1"/>
  <c r="BH14" i="1" s="1"/>
  <c r="AN15" i="1"/>
  <c r="BH15" i="1" s="1"/>
  <c r="AN16" i="1"/>
  <c r="BH16" i="1" s="1"/>
  <c r="AN17" i="1"/>
  <c r="BH17" i="1" s="1"/>
  <c r="AN18" i="1"/>
  <c r="BH18" i="1" s="1"/>
  <c r="AN19" i="1"/>
  <c r="BH19" i="1" s="1"/>
  <c r="AN20" i="1"/>
  <c r="BH20" i="1" s="1"/>
  <c r="AN21" i="1"/>
  <c r="BH21" i="1" s="1"/>
  <c r="AN22" i="1"/>
  <c r="BH22" i="1" s="1"/>
  <c r="AN23" i="1"/>
  <c r="BH23" i="1" s="1"/>
  <c r="AN24" i="1"/>
  <c r="BH24" i="1" s="1"/>
  <c r="AN25" i="1"/>
  <c r="BH25" i="1" s="1"/>
  <c r="AN26" i="1"/>
  <c r="BH26" i="1" s="1"/>
  <c r="AN27" i="1"/>
  <c r="BH27" i="1" s="1"/>
  <c r="AN28" i="1"/>
  <c r="BH28" i="1" s="1"/>
  <c r="AN29" i="1"/>
  <c r="BH29" i="1" s="1"/>
  <c r="AN30" i="1"/>
  <c r="BH30" i="1" s="1"/>
  <c r="AN31" i="1"/>
  <c r="BH31" i="1" s="1"/>
  <c r="AN32" i="1"/>
  <c r="BH32" i="1" s="1"/>
  <c r="AN33" i="1"/>
  <c r="BH33" i="1" s="1"/>
  <c r="AN34" i="1"/>
  <c r="BH34" i="1" s="1"/>
  <c r="AN35" i="1"/>
  <c r="BH35" i="1" s="1"/>
  <c r="AN36" i="1"/>
  <c r="BH36" i="1" s="1"/>
  <c r="AN37" i="1"/>
  <c r="BH37" i="1" s="1"/>
  <c r="AN38" i="1"/>
  <c r="BH38" i="1" s="1"/>
  <c r="AN39" i="1"/>
  <c r="BH39" i="1" s="1"/>
  <c r="AN40" i="1"/>
  <c r="BH40" i="1" s="1"/>
  <c r="AN41" i="1"/>
  <c r="BH41" i="1" s="1"/>
  <c r="AN42" i="1"/>
  <c r="BH42" i="1" s="1"/>
  <c r="AN43" i="1"/>
  <c r="BH43" i="1" s="1"/>
  <c r="AN44" i="1"/>
  <c r="BH44" i="1" s="1"/>
  <c r="AN45" i="1"/>
  <c r="BH45" i="1" s="1"/>
  <c r="AN46" i="1"/>
  <c r="BH46" i="1" s="1"/>
  <c r="AN47" i="1"/>
  <c r="BH47" i="1" s="1"/>
  <c r="AN48" i="1"/>
  <c r="BH48" i="1" s="1"/>
  <c r="AN49" i="1"/>
  <c r="BH49" i="1" s="1"/>
  <c r="AN50" i="1"/>
  <c r="BH50" i="1" s="1"/>
  <c r="AN51" i="1"/>
  <c r="BH51" i="1" s="1"/>
  <c r="AN52" i="1"/>
  <c r="BH52" i="1" s="1"/>
  <c r="AN53" i="1"/>
  <c r="BH53" i="1" s="1"/>
  <c r="AN54" i="1"/>
  <c r="BH54" i="1" s="1"/>
  <c r="AN55" i="1"/>
  <c r="BH55" i="1" s="1"/>
  <c r="AN56" i="1"/>
  <c r="BH56" i="1" s="1"/>
  <c r="AN57" i="1"/>
  <c r="BH57" i="1" s="1"/>
  <c r="AN58" i="1"/>
  <c r="BH58" i="1" s="1"/>
  <c r="AN59" i="1"/>
  <c r="BH59" i="1" s="1"/>
  <c r="AN60" i="1"/>
  <c r="BH60" i="1" s="1"/>
  <c r="AN61" i="1"/>
  <c r="BH61" i="1" s="1"/>
  <c r="AN62" i="1"/>
  <c r="BH62" i="1" s="1"/>
  <c r="AN63" i="1"/>
  <c r="BH63" i="1" s="1"/>
  <c r="AN64" i="1"/>
  <c r="BH64" i="1" s="1"/>
  <c r="AN65" i="1"/>
  <c r="BH65" i="1" s="1"/>
  <c r="AN66" i="1"/>
  <c r="BH66" i="1" s="1"/>
  <c r="AN67" i="1"/>
  <c r="BH67" i="1" s="1"/>
  <c r="AN68" i="1"/>
  <c r="BH68" i="1" s="1"/>
  <c r="AN69" i="1"/>
  <c r="BH69" i="1" s="1"/>
  <c r="AN70" i="1"/>
  <c r="BH70" i="1" s="1"/>
  <c r="AN71" i="1"/>
  <c r="BH71" i="1" s="1"/>
  <c r="AN72" i="1"/>
  <c r="BH72" i="1" s="1"/>
  <c r="AN73" i="1"/>
  <c r="BH73" i="1" s="1"/>
  <c r="AN74" i="1"/>
  <c r="BH74" i="1" s="1"/>
  <c r="AN75" i="1"/>
  <c r="BH75" i="1" s="1"/>
  <c r="AN76" i="1"/>
  <c r="BH76" i="1" s="1"/>
  <c r="AN77" i="1"/>
  <c r="BH77" i="1" s="1"/>
  <c r="AN78" i="1"/>
  <c r="BH78" i="1" s="1"/>
  <c r="AN79" i="1"/>
  <c r="BH79" i="1" s="1"/>
  <c r="AN80" i="1"/>
  <c r="BH80" i="1" s="1"/>
  <c r="AN81" i="1"/>
  <c r="BH81" i="1" s="1"/>
  <c r="AN82" i="1"/>
  <c r="BH82" i="1" s="1"/>
  <c r="AN83" i="1"/>
  <c r="BH83" i="1" s="1"/>
  <c r="AN84" i="1"/>
  <c r="BH84" i="1" s="1"/>
  <c r="AN85" i="1"/>
  <c r="BH85" i="1" s="1"/>
  <c r="AN86" i="1"/>
  <c r="BH86" i="1" s="1"/>
  <c r="AN87" i="1"/>
  <c r="BH87" i="1" s="1"/>
  <c r="AN88" i="1"/>
  <c r="BH88" i="1" s="1"/>
  <c r="AN89" i="1"/>
  <c r="BH89" i="1" s="1"/>
  <c r="AN90" i="1"/>
  <c r="BH90" i="1" s="1"/>
  <c r="AN91" i="1"/>
  <c r="BH91" i="1" s="1"/>
  <c r="AN92" i="1"/>
  <c r="BH92" i="1" s="1"/>
  <c r="AN93" i="1"/>
  <c r="BH93" i="1" s="1"/>
  <c r="AN94" i="1"/>
  <c r="BH94" i="1" s="1"/>
  <c r="AN95" i="1"/>
  <c r="BH95" i="1" s="1"/>
  <c r="AN96" i="1"/>
  <c r="BH96" i="1" s="1"/>
  <c r="AN97" i="1"/>
  <c r="BH97" i="1" s="1"/>
  <c r="AN98" i="1"/>
  <c r="BH98" i="1" s="1"/>
  <c r="AN99" i="1"/>
  <c r="BH99" i="1" s="1"/>
  <c r="AN100" i="1"/>
  <c r="BH100" i="1" s="1"/>
  <c r="AN101" i="1"/>
  <c r="BH101" i="1" s="1"/>
  <c r="AN102" i="1"/>
  <c r="BH102" i="1" s="1"/>
  <c r="AN103" i="1"/>
  <c r="BH103" i="1" s="1"/>
  <c r="AN104" i="1"/>
  <c r="BH104" i="1" s="1"/>
  <c r="AN105" i="1"/>
  <c r="BH105" i="1" s="1"/>
  <c r="AN106" i="1"/>
  <c r="BH106" i="1" s="1"/>
  <c r="AN107" i="1"/>
  <c r="BH107" i="1" s="1"/>
  <c r="AN108" i="1"/>
  <c r="BH108" i="1" s="1"/>
  <c r="AN109" i="1"/>
  <c r="BH109" i="1" s="1"/>
  <c r="AN110" i="1"/>
  <c r="BH110" i="1" s="1"/>
  <c r="AN111" i="1"/>
  <c r="BH111" i="1" s="1"/>
  <c r="AN112" i="1"/>
  <c r="BH112" i="1" s="1"/>
  <c r="AN113" i="1"/>
  <c r="BH113" i="1" s="1"/>
  <c r="AN114" i="1"/>
  <c r="BH114" i="1" s="1"/>
  <c r="AN115" i="1"/>
  <c r="BH115" i="1" s="1"/>
  <c r="AN116" i="1"/>
  <c r="BH116" i="1" s="1"/>
  <c r="AN117" i="1"/>
  <c r="BH117" i="1" s="1"/>
  <c r="AN118" i="1"/>
  <c r="BH118" i="1" s="1"/>
  <c r="AN119" i="1"/>
  <c r="BH119" i="1" s="1"/>
  <c r="AN120" i="1"/>
  <c r="BH120" i="1" s="1"/>
  <c r="AN121" i="1"/>
  <c r="BH121" i="1" s="1"/>
  <c r="AN122" i="1"/>
  <c r="BH122" i="1" s="1"/>
  <c r="AN123" i="1"/>
  <c r="BH123" i="1" s="1"/>
  <c r="AN124" i="1"/>
  <c r="BH124" i="1" s="1"/>
  <c r="AN125" i="1"/>
  <c r="BH125" i="1" s="1"/>
  <c r="AN126" i="1"/>
  <c r="BH126" i="1" s="1"/>
  <c r="AN127" i="1"/>
  <c r="BH127" i="1" s="1"/>
  <c r="AN128" i="1"/>
  <c r="BH128" i="1" s="1"/>
  <c r="AN129" i="1"/>
  <c r="BH129" i="1" s="1"/>
  <c r="AN130" i="1"/>
  <c r="BH130" i="1" s="1"/>
  <c r="AN131" i="1"/>
  <c r="BH131" i="1" s="1"/>
  <c r="AN132" i="1"/>
  <c r="BH132" i="1" s="1"/>
  <c r="AN133" i="1"/>
  <c r="BH133" i="1" s="1"/>
  <c r="AN134" i="1"/>
  <c r="BH134" i="1" s="1"/>
  <c r="AN135" i="1"/>
  <c r="BH135" i="1" s="1"/>
  <c r="AN136" i="1"/>
  <c r="BH136" i="1" s="1"/>
  <c r="AN137" i="1"/>
  <c r="BH137" i="1" s="1"/>
  <c r="AN138" i="1"/>
  <c r="BH138" i="1" s="1"/>
  <c r="AN139" i="1"/>
  <c r="BH139" i="1" s="1"/>
  <c r="AN140" i="1"/>
  <c r="BH140" i="1" s="1"/>
  <c r="AN141" i="1"/>
  <c r="BH141" i="1" s="1"/>
  <c r="AN142" i="1"/>
  <c r="BH142" i="1" s="1"/>
  <c r="AN143" i="1"/>
  <c r="BH143" i="1" s="1"/>
  <c r="AN144" i="1"/>
  <c r="BH144" i="1" s="1"/>
  <c r="AN145" i="1"/>
  <c r="BH145" i="1" s="1"/>
  <c r="AN146" i="1"/>
  <c r="BH146" i="1" s="1"/>
  <c r="AN147" i="1"/>
  <c r="BH147" i="1" s="1"/>
  <c r="AN148" i="1"/>
  <c r="BH148" i="1" s="1"/>
  <c r="AN149" i="1"/>
  <c r="BH149" i="1" s="1"/>
  <c r="AN150" i="1"/>
  <c r="BH150" i="1" s="1"/>
  <c r="AN151" i="1"/>
  <c r="BH151" i="1" s="1"/>
  <c r="AN152" i="1"/>
  <c r="BH152" i="1" s="1"/>
  <c r="AN153" i="1"/>
  <c r="BH153" i="1" s="1"/>
  <c r="AN154" i="1"/>
  <c r="BH154" i="1" s="1"/>
  <c r="AN155" i="1"/>
  <c r="BH155" i="1" s="1"/>
  <c r="AN156" i="1"/>
  <c r="BH156" i="1" s="1"/>
  <c r="AN157" i="1"/>
  <c r="BH157" i="1" s="1"/>
  <c r="AN158" i="1"/>
  <c r="BH158" i="1" s="1"/>
  <c r="AN159" i="1"/>
  <c r="BH159" i="1" s="1"/>
  <c r="AN160" i="1"/>
  <c r="BH160" i="1" s="1"/>
  <c r="AN161" i="1"/>
  <c r="BH161" i="1" s="1"/>
  <c r="AN162" i="1"/>
  <c r="BH162" i="1" s="1"/>
  <c r="AN163" i="1"/>
  <c r="BH163" i="1" s="1"/>
  <c r="AN164" i="1"/>
  <c r="BH164" i="1" s="1"/>
  <c r="AN165" i="1"/>
  <c r="BH165" i="1" s="1"/>
  <c r="AN166" i="1"/>
  <c r="BH166" i="1" s="1"/>
  <c r="AN167" i="1"/>
  <c r="BH167" i="1" s="1"/>
  <c r="AN168" i="1"/>
  <c r="BH168" i="1" s="1"/>
  <c r="AN169" i="1"/>
  <c r="BH169" i="1" s="1"/>
  <c r="AN170" i="1"/>
  <c r="BH170" i="1" s="1"/>
  <c r="AN171" i="1"/>
  <c r="BH171" i="1" s="1"/>
  <c r="AN172" i="1"/>
  <c r="BH172" i="1" s="1"/>
  <c r="AN173" i="1"/>
  <c r="BH173" i="1" s="1"/>
  <c r="AN174" i="1"/>
  <c r="BH174" i="1" s="1"/>
  <c r="AN175" i="1"/>
  <c r="BH175" i="1" s="1"/>
  <c r="AN176" i="1"/>
  <c r="BH176" i="1" s="1"/>
  <c r="AN177" i="1"/>
  <c r="BH177" i="1" s="1"/>
  <c r="AN178" i="1"/>
  <c r="BH178" i="1" s="1"/>
  <c r="AN179" i="1"/>
  <c r="BH179" i="1" s="1"/>
  <c r="AN180" i="1"/>
  <c r="BH180" i="1" s="1"/>
  <c r="AN181" i="1"/>
  <c r="BH181" i="1" s="1"/>
  <c r="AN182" i="1"/>
  <c r="BH182" i="1" s="1"/>
  <c r="AN183" i="1"/>
  <c r="BH183" i="1" s="1"/>
  <c r="AN184" i="1"/>
  <c r="BH184" i="1" s="1"/>
  <c r="AN185" i="1"/>
  <c r="BH185" i="1" s="1"/>
  <c r="AN186" i="1"/>
  <c r="BH186" i="1" s="1"/>
  <c r="AN187" i="1"/>
  <c r="BH187" i="1" s="1"/>
  <c r="AN188" i="1"/>
  <c r="BH188" i="1" s="1"/>
  <c r="AN189" i="1"/>
  <c r="BH189" i="1" s="1"/>
  <c r="AN190" i="1"/>
  <c r="BH190" i="1" s="1"/>
  <c r="AN191" i="1"/>
  <c r="BH191" i="1" s="1"/>
  <c r="AN192" i="1"/>
  <c r="BH192" i="1" s="1"/>
  <c r="AN193" i="1"/>
  <c r="BH193" i="1" s="1"/>
  <c r="AN194" i="1"/>
  <c r="BH194" i="1" s="1"/>
  <c r="AN195" i="1"/>
  <c r="BH195" i="1" s="1"/>
  <c r="AN196" i="1"/>
  <c r="BH196" i="1" s="1"/>
  <c r="AN197" i="1"/>
  <c r="BH197" i="1" s="1"/>
  <c r="AN198" i="1"/>
  <c r="BH198" i="1" s="1"/>
  <c r="AN199" i="1"/>
  <c r="BH199" i="1" s="1"/>
  <c r="AN200" i="1"/>
  <c r="BH200" i="1" s="1"/>
  <c r="AN201" i="1"/>
  <c r="BH201" i="1" s="1"/>
  <c r="AN202" i="1"/>
  <c r="BH202" i="1" s="1"/>
  <c r="AN203" i="1"/>
  <c r="BH203" i="1" s="1"/>
  <c r="AN204" i="1"/>
  <c r="BH204" i="1" s="1"/>
  <c r="AN205" i="1"/>
  <c r="BH205" i="1" s="1"/>
  <c r="AN206" i="1"/>
  <c r="BH206" i="1" s="1"/>
  <c r="AN207" i="1"/>
  <c r="BH207" i="1" s="1"/>
  <c r="AN208" i="1"/>
  <c r="BH208" i="1" s="1"/>
  <c r="AN209" i="1"/>
  <c r="BH209" i="1" s="1"/>
  <c r="AN210" i="1"/>
  <c r="BH210" i="1" s="1"/>
  <c r="AN211" i="1"/>
  <c r="BH211" i="1" s="1"/>
  <c r="AN212" i="1"/>
  <c r="BH212" i="1" s="1"/>
  <c r="AN213" i="1"/>
  <c r="BH213" i="1" s="1"/>
  <c r="AN214" i="1"/>
  <c r="BH214" i="1" s="1"/>
  <c r="AN215" i="1"/>
  <c r="BH215" i="1" s="1"/>
  <c r="AN216" i="1"/>
  <c r="BH216" i="1" s="1"/>
  <c r="AN217" i="1"/>
  <c r="BH217" i="1" s="1"/>
  <c r="AN218" i="1"/>
  <c r="BH218" i="1" s="1"/>
  <c r="AN219" i="1"/>
  <c r="BH219" i="1" s="1"/>
  <c r="AN220" i="1"/>
  <c r="BH220" i="1" s="1"/>
  <c r="AN221" i="1"/>
  <c r="BH221" i="1" s="1"/>
  <c r="AN222" i="1"/>
  <c r="BH222" i="1" s="1"/>
  <c r="AN223" i="1"/>
  <c r="BH223" i="1" s="1"/>
  <c r="AN224" i="1"/>
  <c r="BH224" i="1" s="1"/>
  <c r="AN225" i="1"/>
  <c r="BH225" i="1" s="1"/>
  <c r="AN226" i="1"/>
  <c r="BH226" i="1" s="1"/>
  <c r="AN227" i="1"/>
  <c r="BH227" i="1" s="1"/>
  <c r="AN228" i="1"/>
  <c r="BH228" i="1" s="1"/>
  <c r="AN229" i="1"/>
  <c r="BH229" i="1" s="1"/>
  <c r="AN230" i="1"/>
  <c r="BH230" i="1" s="1"/>
  <c r="AN231" i="1"/>
  <c r="BH231" i="1" s="1"/>
  <c r="AN232" i="1"/>
  <c r="BH232" i="1" s="1"/>
  <c r="AN233" i="1"/>
  <c r="BH233" i="1" s="1"/>
  <c r="AN234" i="1"/>
  <c r="BH234" i="1" s="1"/>
  <c r="AN235" i="1"/>
  <c r="BH235" i="1" s="1"/>
  <c r="AN236" i="1"/>
  <c r="BH236" i="1" s="1"/>
  <c r="AN237" i="1"/>
  <c r="BH237" i="1" s="1"/>
  <c r="AN238" i="1"/>
  <c r="BH238" i="1" s="1"/>
  <c r="AN239" i="1"/>
  <c r="BH239" i="1" s="1"/>
  <c r="AN240" i="1"/>
  <c r="BH240" i="1" s="1"/>
  <c r="AN241" i="1"/>
  <c r="BH241" i="1" s="1"/>
  <c r="AN242" i="1"/>
  <c r="BH242" i="1" s="1"/>
  <c r="AN243" i="1"/>
  <c r="BH243" i="1" s="1"/>
  <c r="AN244" i="1"/>
  <c r="BH244" i="1" s="1"/>
  <c r="AN245" i="1"/>
  <c r="BH245" i="1" s="1"/>
  <c r="AN246" i="1"/>
  <c r="BH246" i="1" s="1"/>
  <c r="AN247" i="1"/>
  <c r="BH247" i="1" s="1"/>
  <c r="AN248" i="1"/>
  <c r="BH248" i="1" s="1"/>
  <c r="AN249" i="1"/>
  <c r="BH249" i="1" s="1"/>
  <c r="AN250" i="1"/>
  <c r="BH250" i="1" s="1"/>
  <c r="AN251" i="1"/>
  <c r="BH251" i="1" s="1"/>
  <c r="AN252" i="1"/>
  <c r="BH252" i="1" s="1"/>
  <c r="AN253" i="1"/>
  <c r="BH253" i="1" s="1"/>
  <c r="AN254" i="1"/>
  <c r="BH254" i="1" s="1"/>
  <c r="AN255" i="1"/>
  <c r="BH255" i="1" s="1"/>
  <c r="AN256" i="1"/>
  <c r="BH256" i="1" s="1"/>
  <c r="AN257" i="1"/>
  <c r="BH257" i="1" s="1"/>
  <c r="AN258" i="1"/>
  <c r="BH258" i="1" s="1"/>
  <c r="AN259" i="1"/>
  <c r="BH259" i="1" s="1"/>
  <c r="AN260" i="1"/>
  <c r="BH260" i="1" s="1"/>
  <c r="AN261" i="1"/>
  <c r="BH261" i="1" s="1"/>
  <c r="AN262" i="1"/>
  <c r="BH262" i="1" s="1"/>
  <c r="AN263" i="1"/>
  <c r="BH263" i="1" s="1"/>
  <c r="AN264" i="1"/>
  <c r="BH264" i="1" s="1"/>
  <c r="AN265" i="1"/>
  <c r="BH265" i="1" s="1"/>
  <c r="AN266" i="1"/>
  <c r="BH266" i="1" s="1"/>
  <c r="AN267" i="1"/>
  <c r="BH267" i="1" s="1"/>
  <c r="AN268" i="1"/>
  <c r="BH268" i="1" s="1"/>
  <c r="AN269" i="1"/>
  <c r="BH269" i="1" s="1"/>
  <c r="AN270" i="1"/>
  <c r="BH270" i="1" s="1"/>
  <c r="AN271" i="1"/>
  <c r="BH271" i="1" s="1"/>
  <c r="AN272" i="1"/>
  <c r="BH272" i="1" s="1"/>
  <c r="AN273" i="1"/>
  <c r="BH273" i="1" s="1"/>
  <c r="AN274" i="1"/>
  <c r="BH274" i="1" s="1"/>
  <c r="AN275" i="1"/>
  <c r="BH275" i="1" s="1"/>
  <c r="AN276" i="1"/>
  <c r="BH276" i="1" s="1"/>
  <c r="AN277" i="1"/>
  <c r="BH277" i="1" s="1"/>
  <c r="AN278" i="1"/>
  <c r="BH278" i="1" s="1"/>
  <c r="AN279" i="1"/>
  <c r="BH279" i="1" s="1"/>
  <c r="AN280" i="1"/>
  <c r="BH280" i="1" s="1"/>
  <c r="AN281" i="1"/>
  <c r="BH281" i="1" s="1"/>
  <c r="AN282" i="1"/>
  <c r="BH282" i="1" s="1"/>
  <c r="AN283" i="1"/>
  <c r="BH283" i="1" s="1"/>
  <c r="AN284" i="1"/>
  <c r="BH284" i="1" s="1"/>
  <c r="AN285" i="1"/>
  <c r="BH285" i="1" s="1"/>
  <c r="AN286" i="1"/>
  <c r="BH286" i="1" s="1"/>
  <c r="AN287" i="1"/>
  <c r="BH287" i="1" s="1"/>
  <c r="AN288" i="1"/>
  <c r="BH288" i="1" s="1"/>
  <c r="AN289" i="1"/>
  <c r="BH289" i="1" s="1"/>
  <c r="AN290" i="1"/>
  <c r="BH290" i="1" s="1"/>
  <c r="AN291" i="1"/>
  <c r="BH291" i="1" s="1"/>
  <c r="AN292" i="1"/>
  <c r="BH292" i="1" s="1"/>
  <c r="AN293" i="1"/>
  <c r="BH293" i="1" s="1"/>
  <c r="AN294" i="1"/>
  <c r="BH294" i="1" s="1"/>
  <c r="AN295" i="1"/>
  <c r="BH295" i="1" s="1"/>
  <c r="AN296" i="1"/>
  <c r="BH296" i="1" s="1"/>
  <c r="AN297" i="1"/>
  <c r="BH297" i="1" s="1"/>
  <c r="AN298" i="1"/>
  <c r="BH298" i="1" s="1"/>
  <c r="AN299" i="1"/>
  <c r="BH299" i="1" s="1"/>
  <c r="AN300" i="1"/>
  <c r="BH300" i="1" s="1"/>
  <c r="AN301" i="1"/>
  <c r="BH301" i="1" s="1"/>
  <c r="AN302" i="1"/>
  <c r="BH302" i="1" s="1"/>
  <c r="AN303" i="1"/>
  <c r="BH303" i="1" s="1"/>
  <c r="AN304" i="1"/>
  <c r="BH304" i="1" s="1"/>
  <c r="AN305" i="1"/>
  <c r="BH305" i="1" s="1"/>
  <c r="AN306" i="1"/>
  <c r="BH306" i="1" s="1"/>
  <c r="AN307" i="1"/>
  <c r="BH307" i="1" s="1"/>
  <c r="AN308" i="1"/>
  <c r="BH308" i="1" s="1"/>
  <c r="AN309" i="1"/>
  <c r="BH309" i="1" s="1"/>
  <c r="AN310" i="1"/>
  <c r="BH310" i="1" s="1"/>
  <c r="AN311" i="1"/>
  <c r="BH311" i="1" s="1"/>
  <c r="AN312" i="1"/>
  <c r="BH312" i="1" s="1"/>
  <c r="AN313" i="1"/>
  <c r="BH313" i="1" s="1"/>
  <c r="AN314" i="1"/>
  <c r="BH314" i="1" s="1"/>
  <c r="AN315" i="1"/>
  <c r="BH315" i="1" s="1"/>
  <c r="AN316" i="1"/>
  <c r="BH316" i="1" s="1"/>
  <c r="AN317" i="1"/>
  <c r="BH317" i="1" s="1"/>
  <c r="AN318" i="1"/>
  <c r="BH318" i="1" s="1"/>
  <c r="AN319" i="1"/>
  <c r="BH319" i="1" s="1"/>
  <c r="AN320" i="1"/>
  <c r="BH320" i="1" s="1"/>
  <c r="AN321" i="1"/>
  <c r="BH321" i="1" s="1"/>
  <c r="AN322" i="1"/>
  <c r="BH322" i="1" s="1"/>
  <c r="AN323" i="1"/>
  <c r="BH323" i="1" s="1"/>
  <c r="AN324" i="1"/>
  <c r="BH324" i="1" s="1"/>
  <c r="AN325" i="1"/>
  <c r="BH325" i="1" s="1"/>
  <c r="AN326" i="1"/>
  <c r="BH326" i="1" s="1"/>
  <c r="AN327" i="1"/>
  <c r="BH327" i="1" s="1"/>
  <c r="AN328" i="1"/>
  <c r="BH328" i="1" s="1"/>
  <c r="AN329" i="1"/>
  <c r="BH329" i="1" s="1"/>
  <c r="AN330" i="1"/>
  <c r="BH330" i="1" s="1"/>
  <c r="AN331" i="1"/>
  <c r="BH331" i="1" s="1"/>
  <c r="AN332" i="1"/>
  <c r="BH332" i="1" s="1"/>
  <c r="AN333" i="1"/>
  <c r="BH333" i="1" s="1"/>
  <c r="AN334" i="1"/>
  <c r="BH334" i="1" s="1"/>
  <c r="AN335" i="1"/>
  <c r="BH335" i="1" s="1"/>
  <c r="AN336" i="1"/>
  <c r="BH336" i="1" s="1"/>
  <c r="AN337" i="1"/>
  <c r="BH337" i="1" s="1"/>
  <c r="AN338" i="1"/>
  <c r="BH338" i="1" s="1"/>
  <c r="AN339" i="1"/>
  <c r="BH339" i="1" s="1"/>
  <c r="AN340" i="1"/>
  <c r="BH340" i="1" s="1"/>
  <c r="AN341" i="1"/>
  <c r="BH341" i="1" s="1"/>
  <c r="AN342" i="1"/>
  <c r="BH342" i="1" s="1"/>
  <c r="AN343" i="1"/>
  <c r="BH343" i="1" s="1"/>
  <c r="AN344" i="1"/>
  <c r="BH344" i="1" s="1"/>
  <c r="AN345" i="1"/>
  <c r="BH345" i="1" s="1"/>
  <c r="AN346" i="1"/>
  <c r="BH346" i="1" s="1"/>
  <c r="AN347" i="1"/>
  <c r="BH347" i="1" s="1"/>
  <c r="AN348" i="1"/>
  <c r="BH348" i="1" s="1"/>
  <c r="AN349" i="1"/>
  <c r="BH349" i="1" s="1"/>
  <c r="AN350" i="1"/>
  <c r="BH350" i="1" s="1"/>
  <c r="AN351" i="1"/>
  <c r="BH351" i="1" s="1"/>
  <c r="AN352" i="1"/>
  <c r="BH352" i="1" s="1"/>
  <c r="AN353" i="1"/>
  <c r="BH353" i="1" s="1"/>
  <c r="AN354" i="1"/>
  <c r="BH354" i="1" s="1"/>
  <c r="AN355" i="1"/>
  <c r="BH355" i="1" s="1"/>
  <c r="AN356" i="1"/>
  <c r="BH356" i="1" s="1"/>
  <c r="AN357" i="1"/>
  <c r="BH357" i="1" s="1"/>
  <c r="AN358" i="1"/>
  <c r="BH358" i="1" s="1"/>
  <c r="AN359" i="1"/>
  <c r="BH359" i="1" s="1"/>
  <c r="AN360" i="1"/>
  <c r="BH360" i="1" s="1"/>
  <c r="AN361" i="1"/>
  <c r="BH361" i="1" s="1"/>
  <c r="AN362" i="1"/>
  <c r="BH362" i="1" s="1"/>
  <c r="AN363" i="1"/>
  <c r="BH363" i="1" s="1"/>
  <c r="AN364" i="1"/>
  <c r="AN365" i="1"/>
  <c r="BH365" i="1" s="1"/>
  <c r="AN366" i="1"/>
  <c r="BH366" i="1" s="1"/>
  <c r="AN367" i="1"/>
  <c r="BH367" i="1" s="1"/>
  <c r="AN368" i="1"/>
  <c r="BH368" i="1" s="1"/>
  <c r="AN369" i="1"/>
  <c r="BH369" i="1" s="1"/>
  <c r="AN370" i="1"/>
  <c r="BH370" i="1" s="1"/>
  <c r="AN371" i="1"/>
  <c r="BH371" i="1" s="1"/>
  <c r="AN372" i="1"/>
  <c r="BH372" i="1" s="1"/>
  <c r="AN373" i="1"/>
  <c r="BH373" i="1" s="1"/>
  <c r="AN374" i="1"/>
  <c r="BH374" i="1" s="1"/>
  <c r="AN375" i="1"/>
  <c r="BH375" i="1" s="1"/>
  <c r="AN376" i="1"/>
  <c r="BH376" i="1" s="1"/>
  <c r="AN377" i="1"/>
  <c r="BH377" i="1" s="1"/>
  <c r="AN378" i="1"/>
  <c r="BH378" i="1" s="1"/>
  <c r="AN379" i="1"/>
  <c r="BH379" i="1" s="1"/>
  <c r="AN380" i="1"/>
  <c r="BH380" i="1" s="1"/>
  <c r="AN381" i="1"/>
  <c r="BH381" i="1" s="1"/>
  <c r="AN382" i="1"/>
  <c r="BH382" i="1" s="1"/>
  <c r="AN383" i="1"/>
  <c r="BH383" i="1" s="1"/>
  <c r="AN384" i="1"/>
  <c r="BH384" i="1" s="1"/>
  <c r="AN385" i="1"/>
  <c r="BH385" i="1" s="1"/>
  <c r="AN386" i="1"/>
  <c r="BH386" i="1" s="1"/>
  <c r="AN387" i="1"/>
  <c r="BH387" i="1" s="1"/>
  <c r="AN388" i="1"/>
  <c r="BH388" i="1" s="1"/>
  <c r="AN389" i="1"/>
  <c r="BH389" i="1" s="1"/>
  <c r="AN390" i="1"/>
  <c r="BH390" i="1" s="1"/>
  <c r="AN391" i="1"/>
  <c r="BH391" i="1" s="1"/>
  <c r="AN392" i="1"/>
  <c r="BH392" i="1" s="1"/>
  <c r="AN393" i="1"/>
  <c r="BH393" i="1" s="1"/>
  <c r="AN394" i="1"/>
  <c r="BH394" i="1" s="1"/>
  <c r="AN395" i="1"/>
  <c r="BH395" i="1" s="1"/>
  <c r="AN396" i="1"/>
  <c r="BH396" i="1" s="1"/>
  <c r="AN397" i="1"/>
  <c r="BH397" i="1" s="1"/>
  <c r="AN398" i="1"/>
  <c r="BH398" i="1" s="1"/>
  <c r="AN399" i="1"/>
  <c r="BH399" i="1" s="1"/>
  <c r="AN400" i="1"/>
  <c r="BH400" i="1" s="1"/>
  <c r="AN401" i="1"/>
  <c r="BH401" i="1" s="1"/>
  <c r="AN402" i="1"/>
  <c r="BH402" i="1" s="1"/>
  <c r="AN403" i="1"/>
  <c r="BH403" i="1" s="1"/>
  <c r="AN404" i="1"/>
  <c r="BH404" i="1" s="1"/>
  <c r="AN405" i="1"/>
  <c r="BH405" i="1" s="1"/>
  <c r="AN406" i="1"/>
  <c r="BH406" i="1" s="1"/>
  <c r="AN407" i="1"/>
  <c r="BH407" i="1" s="1"/>
  <c r="AN408" i="1"/>
  <c r="BH408" i="1" s="1"/>
  <c r="AN409" i="1"/>
  <c r="BH409" i="1" s="1"/>
  <c r="AN410" i="1"/>
  <c r="BH410" i="1" s="1"/>
  <c r="AN411" i="1"/>
  <c r="BH411" i="1" s="1"/>
  <c r="AN412" i="1"/>
  <c r="BH412" i="1" s="1"/>
  <c r="AN413" i="1"/>
  <c r="BH413" i="1" s="1"/>
  <c r="AN414" i="1"/>
  <c r="BH414" i="1" s="1"/>
  <c r="AN415" i="1"/>
  <c r="BH415" i="1" s="1"/>
  <c r="AN416" i="1"/>
  <c r="BH416" i="1" s="1"/>
  <c r="AN417" i="1"/>
  <c r="BH417" i="1" s="1"/>
  <c r="AN418" i="1"/>
  <c r="BH418" i="1" s="1"/>
  <c r="AN419" i="1"/>
  <c r="BH419" i="1" s="1"/>
  <c r="AN420" i="1"/>
  <c r="BH420" i="1" s="1"/>
  <c r="AN421" i="1"/>
  <c r="BH421" i="1" s="1"/>
  <c r="AN422" i="1"/>
  <c r="BH422" i="1" s="1"/>
  <c r="AN423" i="1"/>
  <c r="BH423" i="1" s="1"/>
  <c r="AN424" i="1"/>
  <c r="BH424" i="1" s="1"/>
  <c r="AN425" i="1"/>
  <c r="BH425" i="1" s="1"/>
  <c r="AN426" i="1"/>
  <c r="BH426" i="1" s="1"/>
  <c r="AN427" i="1"/>
  <c r="BH427" i="1" s="1"/>
  <c r="AN428" i="1"/>
  <c r="BH428" i="1" s="1"/>
  <c r="AN429" i="1"/>
  <c r="BH429" i="1" s="1"/>
  <c r="AN430" i="1"/>
  <c r="BH430" i="1" s="1"/>
  <c r="AN431" i="1"/>
  <c r="BH431" i="1" s="1"/>
  <c r="AN432" i="1"/>
  <c r="BH432" i="1" s="1"/>
  <c r="AN433" i="1"/>
  <c r="BH433" i="1" s="1"/>
  <c r="AN434" i="1"/>
  <c r="BH434" i="1" s="1"/>
  <c r="AN435" i="1"/>
  <c r="BH435" i="1" s="1"/>
  <c r="AN436" i="1"/>
  <c r="BH436" i="1" s="1"/>
  <c r="AN437" i="1"/>
  <c r="BH437" i="1" s="1"/>
  <c r="AN438" i="1"/>
  <c r="BH438" i="1" s="1"/>
  <c r="AN439" i="1"/>
  <c r="BH439" i="1" s="1"/>
  <c r="AN440" i="1"/>
  <c r="BH440" i="1" s="1"/>
  <c r="AN441" i="1"/>
  <c r="BH441" i="1" s="1"/>
  <c r="AN442" i="1"/>
  <c r="BH442" i="1" s="1"/>
  <c r="AN443" i="1"/>
  <c r="BH443" i="1" s="1"/>
  <c r="AN444" i="1"/>
  <c r="BH444" i="1" s="1"/>
  <c r="AN445" i="1"/>
  <c r="BH445" i="1" s="1"/>
  <c r="AN446" i="1"/>
  <c r="BH446" i="1" s="1"/>
  <c r="AN447" i="1"/>
  <c r="BH447" i="1" s="1"/>
  <c r="AN448" i="1"/>
  <c r="BH448" i="1" s="1"/>
  <c r="AN449" i="1"/>
  <c r="BH449" i="1" s="1"/>
  <c r="AN450" i="1"/>
  <c r="BH450" i="1" s="1"/>
  <c r="AN451" i="1"/>
  <c r="BH451" i="1" s="1"/>
  <c r="AN452" i="1"/>
  <c r="BH452" i="1" s="1"/>
  <c r="AN453" i="1"/>
  <c r="BH453" i="1" s="1"/>
  <c r="AN454" i="1"/>
  <c r="BH454" i="1" s="1"/>
  <c r="AN455" i="1"/>
  <c r="BH455" i="1" s="1"/>
  <c r="AN456" i="1"/>
  <c r="BH456" i="1" s="1"/>
  <c r="AN457" i="1"/>
  <c r="BH457" i="1" s="1"/>
  <c r="AN458" i="1"/>
  <c r="BH458" i="1" s="1"/>
  <c r="AN459" i="1"/>
  <c r="BH459" i="1" s="1"/>
  <c r="AN460" i="1"/>
  <c r="BH460" i="1" s="1"/>
  <c r="AN461" i="1"/>
  <c r="BH461" i="1" s="1"/>
  <c r="AN462" i="1"/>
  <c r="BH462" i="1" s="1"/>
  <c r="AN463" i="1"/>
  <c r="BH463" i="1" s="1"/>
  <c r="AN464" i="1"/>
  <c r="BH464" i="1" s="1"/>
  <c r="AN465" i="1"/>
  <c r="BH465" i="1" s="1"/>
  <c r="AN466" i="1"/>
  <c r="BH466" i="1" s="1"/>
  <c r="AN467" i="1"/>
  <c r="BH467" i="1" s="1"/>
  <c r="AN468" i="1"/>
  <c r="BH468" i="1" s="1"/>
  <c r="AN469" i="1"/>
  <c r="BH469" i="1" s="1"/>
  <c r="AN470" i="1"/>
  <c r="BH470" i="1" s="1"/>
  <c r="AN471" i="1"/>
  <c r="BH471" i="1" s="1"/>
  <c r="AN472" i="1"/>
  <c r="BH472" i="1" s="1"/>
  <c r="AN473" i="1"/>
  <c r="BH473" i="1" s="1"/>
  <c r="AN474" i="1"/>
  <c r="BH474" i="1" s="1"/>
  <c r="AN475" i="1"/>
  <c r="BH475" i="1" s="1"/>
  <c r="AN476" i="1"/>
  <c r="BH476" i="1" s="1"/>
  <c r="AN477" i="1"/>
  <c r="BH477" i="1" s="1"/>
  <c r="AN478" i="1"/>
  <c r="BH478" i="1" s="1"/>
  <c r="AN479" i="1"/>
  <c r="BH479" i="1" s="1"/>
  <c r="AN480" i="1"/>
  <c r="BH480" i="1" s="1"/>
  <c r="AN481" i="1"/>
  <c r="BH481" i="1" s="1"/>
  <c r="AN482" i="1"/>
  <c r="BH482" i="1" s="1"/>
  <c r="AN483" i="1"/>
  <c r="BH483" i="1" s="1"/>
  <c r="AN484" i="1"/>
  <c r="BH484" i="1" s="1"/>
  <c r="AN485" i="1"/>
  <c r="BH485" i="1" s="1"/>
  <c r="AN486" i="1"/>
  <c r="BH486" i="1" s="1"/>
  <c r="AN487" i="1"/>
  <c r="BH487" i="1" s="1"/>
  <c r="AN488" i="1"/>
  <c r="BH488" i="1" s="1"/>
  <c r="AN489" i="1"/>
  <c r="BH489" i="1" s="1"/>
  <c r="AN490" i="1"/>
  <c r="BH490" i="1" s="1"/>
  <c r="AN491" i="1"/>
  <c r="BH491" i="1" s="1"/>
  <c r="AN492" i="1"/>
  <c r="BH492" i="1" s="1"/>
  <c r="AN493" i="1"/>
  <c r="BH493" i="1" s="1"/>
  <c r="AN494" i="1"/>
  <c r="BH494" i="1" s="1"/>
  <c r="AN495" i="1"/>
  <c r="BH495" i="1" s="1"/>
  <c r="AN496" i="1"/>
  <c r="BH496" i="1" s="1"/>
  <c r="AN497" i="1"/>
  <c r="BH497" i="1" s="1"/>
  <c r="AN7" i="1"/>
  <c r="BH7" i="1" s="1"/>
  <c r="BM474" i="1" l="1"/>
  <c r="BS474" i="1" s="1"/>
  <c r="BI474" i="1"/>
  <c r="BM458" i="1"/>
  <c r="BS458" i="1" s="1"/>
  <c r="BI458" i="1"/>
  <c r="BM426" i="1"/>
  <c r="BS426" i="1" s="1"/>
  <c r="BI426" i="1"/>
  <c r="BM394" i="1"/>
  <c r="BS394" i="1" s="1"/>
  <c r="BI394" i="1"/>
  <c r="BM362" i="1"/>
  <c r="BS362" i="1" s="1"/>
  <c r="BI362" i="1"/>
  <c r="BM330" i="1"/>
  <c r="BS330" i="1" s="1"/>
  <c r="BI330" i="1"/>
  <c r="BM298" i="1"/>
  <c r="BS298" i="1" s="1"/>
  <c r="BI298" i="1"/>
  <c r="BM266" i="1"/>
  <c r="BS266" i="1" s="1"/>
  <c r="BI266" i="1"/>
  <c r="BM496" i="1"/>
  <c r="BS496" i="1" s="1"/>
  <c r="BI496" i="1"/>
  <c r="BM488" i="1"/>
  <c r="BS488" i="1" s="1"/>
  <c r="BI488" i="1"/>
  <c r="BM480" i="1"/>
  <c r="BS480" i="1" s="1"/>
  <c r="BI480" i="1"/>
  <c r="BM472" i="1"/>
  <c r="BS472" i="1" s="1"/>
  <c r="BI472" i="1"/>
  <c r="BM464" i="1"/>
  <c r="BS464" i="1" s="1"/>
  <c r="BI464" i="1"/>
  <c r="BM456" i="1"/>
  <c r="BS456" i="1" s="1"/>
  <c r="BI456" i="1"/>
  <c r="BM448" i="1"/>
  <c r="BS448" i="1" s="1"/>
  <c r="BI448" i="1"/>
  <c r="BM440" i="1"/>
  <c r="BS440" i="1" s="1"/>
  <c r="BI440" i="1"/>
  <c r="BM432" i="1"/>
  <c r="BS432" i="1" s="1"/>
  <c r="BI432" i="1"/>
  <c r="BM424" i="1"/>
  <c r="BS424" i="1" s="1"/>
  <c r="BI424" i="1"/>
  <c r="BM416" i="1"/>
  <c r="BS416" i="1" s="1"/>
  <c r="BI416" i="1"/>
  <c r="BM408" i="1"/>
  <c r="BS408" i="1" s="1"/>
  <c r="BI408" i="1"/>
  <c r="BM400" i="1"/>
  <c r="BS400" i="1" s="1"/>
  <c r="BI400" i="1"/>
  <c r="BM392" i="1"/>
  <c r="BS392" i="1" s="1"/>
  <c r="BI392" i="1"/>
  <c r="BM384" i="1"/>
  <c r="BS384" i="1" s="1"/>
  <c r="BI384" i="1"/>
  <c r="BM376" i="1"/>
  <c r="BS376" i="1" s="1"/>
  <c r="BI376" i="1"/>
  <c r="BM368" i="1"/>
  <c r="BS368" i="1" s="1"/>
  <c r="BI368" i="1"/>
  <c r="BM360" i="1"/>
  <c r="BS360" i="1" s="1"/>
  <c r="BI360" i="1"/>
  <c r="BM352" i="1"/>
  <c r="BS352" i="1" s="1"/>
  <c r="BI352" i="1"/>
  <c r="BM344" i="1"/>
  <c r="BS344" i="1" s="1"/>
  <c r="BI344" i="1"/>
  <c r="BM336" i="1"/>
  <c r="BS336" i="1" s="1"/>
  <c r="BI336" i="1"/>
  <c r="BM328" i="1"/>
  <c r="BS328" i="1" s="1"/>
  <c r="BI328" i="1"/>
  <c r="BM320" i="1"/>
  <c r="BS320" i="1" s="1"/>
  <c r="BI320" i="1"/>
  <c r="BM312" i="1"/>
  <c r="BS312" i="1" s="1"/>
  <c r="BI312" i="1"/>
  <c r="BM304" i="1"/>
  <c r="BS304" i="1" s="1"/>
  <c r="BI304" i="1"/>
  <c r="BM296" i="1"/>
  <c r="BS296" i="1" s="1"/>
  <c r="BI296" i="1"/>
  <c r="BM288" i="1"/>
  <c r="BS288" i="1" s="1"/>
  <c r="BI288" i="1"/>
  <c r="BM280" i="1"/>
  <c r="BS280" i="1" s="1"/>
  <c r="BI280" i="1"/>
  <c r="BM272" i="1"/>
  <c r="BS272" i="1" s="1"/>
  <c r="BI272" i="1"/>
  <c r="BM264" i="1"/>
  <c r="BS264" i="1" s="1"/>
  <c r="BI264" i="1"/>
  <c r="BM256" i="1"/>
  <c r="BS256" i="1" s="1"/>
  <c r="BI256" i="1"/>
  <c r="BM248" i="1"/>
  <c r="BS248" i="1" s="1"/>
  <c r="BI248" i="1"/>
  <c r="BM240" i="1"/>
  <c r="BS240" i="1" s="1"/>
  <c r="BI240" i="1"/>
  <c r="BM232" i="1"/>
  <c r="BS232" i="1" s="1"/>
  <c r="BI232" i="1"/>
  <c r="BM224" i="1"/>
  <c r="BS224" i="1" s="1"/>
  <c r="BI224" i="1"/>
  <c r="BM216" i="1"/>
  <c r="BS216" i="1" s="1"/>
  <c r="BI216" i="1"/>
  <c r="BM208" i="1"/>
  <c r="BS208" i="1" s="1"/>
  <c r="BI208" i="1"/>
  <c r="BM200" i="1"/>
  <c r="BS200" i="1" s="1"/>
  <c r="BI200" i="1"/>
  <c r="BM192" i="1"/>
  <c r="BS192" i="1" s="1"/>
  <c r="BI192" i="1"/>
  <c r="BM184" i="1"/>
  <c r="BS184" i="1" s="1"/>
  <c r="BI184" i="1"/>
  <c r="BM176" i="1"/>
  <c r="BS176" i="1" s="1"/>
  <c r="BI176" i="1"/>
  <c r="BM168" i="1"/>
  <c r="BS168" i="1" s="1"/>
  <c r="BI168" i="1"/>
  <c r="BM160" i="1"/>
  <c r="BS160" i="1" s="1"/>
  <c r="BI160" i="1"/>
  <c r="BM152" i="1"/>
  <c r="BS152" i="1" s="1"/>
  <c r="BI152" i="1"/>
  <c r="BM144" i="1"/>
  <c r="BS144" i="1" s="1"/>
  <c r="BI144" i="1"/>
  <c r="BM136" i="1"/>
  <c r="BS136" i="1" s="1"/>
  <c r="BI136" i="1"/>
  <c r="BM128" i="1"/>
  <c r="BS128" i="1" s="1"/>
  <c r="BI128" i="1"/>
  <c r="BM120" i="1"/>
  <c r="BS120" i="1" s="1"/>
  <c r="BI120" i="1"/>
  <c r="BM112" i="1"/>
  <c r="BS112" i="1" s="1"/>
  <c r="BI112" i="1"/>
  <c r="BM104" i="1"/>
  <c r="BS104" i="1" s="1"/>
  <c r="BI104" i="1"/>
  <c r="BM96" i="1"/>
  <c r="BS96" i="1" s="1"/>
  <c r="BI96" i="1"/>
  <c r="BM88" i="1"/>
  <c r="BS88" i="1" s="1"/>
  <c r="BI88" i="1"/>
  <c r="BM80" i="1"/>
  <c r="BS80" i="1" s="1"/>
  <c r="BI80" i="1"/>
  <c r="BM72" i="1"/>
  <c r="BS72" i="1" s="1"/>
  <c r="BI72" i="1"/>
  <c r="BM64" i="1"/>
  <c r="BS64" i="1" s="1"/>
  <c r="BI64" i="1"/>
  <c r="BM56" i="1"/>
  <c r="BS56" i="1" s="1"/>
  <c r="BI56" i="1"/>
  <c r="BM48" i="1"/>
  <c r="BS48" i="1" s="1"/>
  <c r="BI48" i="1"/>
  <c r="BM40" i="1"/>
  <c r="BS40" i="1" s="1"/>
  <c r="BI40" i="1"/>
  <c r="BM32" i="1"/>
  <c r="BS32" i="1" s="1"/>
  <c r="BI32" i="1"/>
  <c r="BM24" i="1"/>
  <c r="BS24" i="1" s="1"/>
  <c r="BI24" i="1"/>
  <c r="BM16" i="1"/>
  <c r="BS16" i="1" s="1"/>
  <c r="BI16" i="1"/>
  <c r="BM8" i="1"/>
  <c r="BS8" i="1" s="1"/>
  <c r="BI8" i="1"/>
  <c r="BM482" i="1"/>
  <c r="BS482" i="1" s="1"/>
  <c r="BI482" i="1"/>
  <c r="BM442" i="1"/>
  <c r="BS442" i="1" s="1"/>
  <c r="BI442" i="1"/>
  <c r="BM418" i="1"/>
  <c r="BS418" i="1" s="1"/>
  <c r="BI418" i="1"/>
  <c r="BM386" i="1"/>
  <c r="BS386" i="1" s="1"/>
  <c r="BI386" i="1"/>
  <c r="BM354" i="1"/>
  <c r="BS354" i="1" s="1"/>
  <c r="BI354" i="1"/>
  <c r="BM322" i="1"/>
  <c r="BS322" i="1" s="1"/>
  <c r="BI322" i="1"/>
  <c r="BM290" i="1"/>
  <c r="BS290" i="1" s="1"/>
  <c r="BI290" i="1"/>
  <c r="BM242" i="1"/>
  <c r="BS242" i="1" s="1"/>
  <c r="BI242" i="1"/>
  <c r="BM495" i="1"/>
  <c r="BS495" i="1" s="1"/>
  <c r="BI495" i="1"/>
  <c r="BM487" i="1"/>
  <c r="BS487" i="1" s="1"/>
  <c r="BI487" i="1"/>
  <c r="BM479" i="1"/>
  <c r="BS479" i="1" s="1"/>
  <c r="BI479" i="1"/>
  <c r="BM471" i="1"/>
  <c r="BS471" i="1" s="1"/>
  <c r="BI471" i="1"/>
  <c r="BM463" i="1"/>
  <c r="BS463" i="1" s="1"/>
  <c r="BI463" i="1"/>
  <c r="BM455" i="1"/>
  <c r="BS455" i="1" s="1"/>
  <c r="BI455" i="1"/>
  <c r="BM447" i="1"/>
  <c r="BS447" i="1" s="1"/>
  <c r="BI447" i="1"/>
  <c r="BM439" i="1"/>
  <c r="BS439" i="1" s="1"/>
  <c r="BI439" i="1"/>
  <c r="BM431" i="1"/>
  <c r="BS431" i="1" s="1"/>
  <c r="BI431" i="1"/>
  <c r="BM423" i="1"/>
  <c r="BS423" i="1" s="1"/>
  <c r="BI423" i="1"/>
  <c r="BM415" i="1"/>
  <c r="BS415" i="1" s="1"/>
  <c r="BI415" i="1"/>
  <c r="BM407" i="1"/>
  <c r="BS407" i="1" s="1"/>
  <c r="BI407" i="1"/>
  <c r="BM399" i="1"/>
  <c r="BS399" i="1" s="1"/>
  <c r="BI399" i="1"/>
  <c r="BM391" i="1"/>
  <c r="BS391" i="1" s="1"/>
  <c r="BI391" i="1"/>
  <c r="BM383" i="1"/>
  <c r="BS383" i="1" s="1"/>
  <c r="BI383" i="1"/>
  <c r="BM375" i="1"/>
  <c r="BS375" i="1" s="1"/>
  <c r="BI375" i="1"/>
  <c r="BM367" i="1"/>
  <c r="BS367" i="1" s="1"/>
  <c r="BI367" i="1"/>
  <c r="BM359" i="1"/>
  <c r="BS359" i="1" s="1"/>
  <c r="BI359" i="1"/>
  <c r="BM351" i="1"/>
  <c r="BS351" i="1" s="1"/>
  <c r="BI351" i="1"/>
  <c r="BM343" i="1"/>
  <c r="BS343" i="1" s="1"/>
  <c r="BI343" i="1"/>
  <c r="BM335" i="1"/>
  <c r="BS335" i="1" s="1"/>
  <c r="BI335" i="1"/>
  <c r="BM327" i="1"/>
  <c r="BS327" i="1" s="1"/>
  <c r="BI327" i="1"/>
  <c r="BM319" i="1"/>
  <c r="BS319" i="1" s="1"/>
  <c r="BI319" i="1"/>
  <c r="BM311" i="1"/>
  <c r="BS311" i="1" s="1"/>
  <c r="BI311" i="1"/>
  <c r="BM303" i="1"/>
  <c r="BS303" i="1" s="1"/>
  <c r="BI303" i="1"/>
  <c r="BM295" i="1"/>
  <c r="BS295" i="1" s="1"/>
  <c r="BI295" i="1"/>
  <c r="BM287" i="1"/>
  <c r="BS287" i="1" s="1"/>
  <c r="BI287" i="1"/>
  <c r="BM279" i="1"/>
  <c r="BS279" i="1" s="1"/>
  <c r="BI279" i="1"/>
  <c r="BM271" i="1"/>
  <c r="BS271" i="1" s="1"/>
  <c r="BI271" i="1"/>
  <c r="BM263" i="1"/>
  <c r="BS263" i="1" s="1"/>
  <c r="BI263" i="1"/>
  <c r="BM255" i="1"/>
  <c r="BS255" i="1" s="1"/>
  <c r="BI255" i="1"/>
  <c r="BM247" i="1"/>
  <c r="BS247" i="1" s="1"/>
  <c r="BI247" i="1"/>
  <c r="BM239" i="1"/>
  <c r="BS239" i="1" s="1"/>
  <c r="BI239" i="1"/>
  <c r="BM231" i="1"/>
  <c r="BS231" i="1" s="1"/>
  <c r="BI231" i="1"/>
  <c r="BM223" i="1"/>
  <c r="BS223" i="1" s="1"/>
  <c r="BI223" i="1"/>
  <c r="BM215" i="1"/>
  <c r="BS215" i="1" s="1"/>
  <c r="BI215" i="1"/>
  <c r="BM207" i="1"/>
  <c r="BS207" i="1" s="1"/>
  <c r="BI207" i="1"/>
  <c r="BM199" i="1"/>
  <c r="BS199" i="1" s="1"/>
  <c r="BI199" i="1"/>
  <c r="BM191" i="1"/>
  <c r="BS191" i="1" s="1"/>
  <c r="BI191" i="1"/>
  <c r="BM183" i="1"/>
  <c r="BS183" i="1" s="1"/>
  <c r="BI183" i="1"/>
  <c r="BM175" i="1"/>
  <c r="BS175" i="1" s="1"/>
  <c r="BI175" i="1"/>
  <c r="BM167" i="1"/>
  <c r="BS167" i="1" s="1"/>
  <c r="BI167" i="1"/>
  <c r="BM159" i="1"/>
  <c r="BS159" i="1" s="1"/>
  <c r="BI159" i="1"/>
  <c r="BM151" i="1"/>
  <c r="BS151" i="1" s="1"/>
  <c r="BI151" i="1"/>
  <c r="BM143" i="1"/>
  <c r="BS143" i="1" s="1"/>
  <c r="BI143" i="1"/>
  <c r="BM135" i="1"/>
  <c r="BS135" i="1" s="1"/>
  <c r="BI135" i="1"/>
  <c r="BM127" i="1"/>
  <c r="BS127" i="1" s="1"/>
  <c r="BI127" i="1"/>
  <c r="BM119" i="1"/>
  <c r="BS119" i="1" s="1"/>
  <c r="BI119" i="1"/>
  <c r="BM111" i="1"/>
  <c r="BS111" i="1" s="1"/>
  <c r="BI111" i="1"/>
  <c r="BM103" i="1"/>
  <c r="BS103" i="1" s="1"/>
  <c r="BI103" i="1"/>
  <c r="BM95" i="1"/>
  <c r="BS95" i="1" s="1"/>
  <c r="BI95" i="1"/>
  <c r="BM87" i="1"/>
  <c r="BS87" i="1" s="1"/>
  <c r="BI87" i="1"/>
  <c r="BM79" i="1"/>
  <c r="BS79" i="1" s="1"/>
  <c r="BI79" i="1"/>
  <c r="BM71" i="1"/>
  <c r="BS71" i="1" s="1"/>
  <c r="BI71" i="1"/>
  <c r="BM63" i="1"/>
  <c r="BS63" i="1" s="1"/>
  <c r="BI63" i="1"/>
  <c r="BM55" i="1"/>
  <c r="BS55" i="1" s="1"/>
  <c r="BI55" i="1"/>
  <c r="BM47" i="1"/>
  <c r="BS47" i="1" s="1"/>
  <c r="BI47" i="1"/>
  <c r="BM39" i="1"/>
  <c r="BS39" i="1" s="1"/>
  <c r="BI39" i="1"/>
  <c r="BM31" i="1"/>
  <c r="BS31" i="1" s="1"/>
  <c r="BI31" i="1"/>
  <c r="BM23" i="1"/>
  <c r="BS23" i="1" s="1"/>
  <c r="BI23" i="1"/>
  <c r="BM15" i="1"/>
  <c r="BS15" i="1" s="1"/>
  <c r="BI15" i="1"/>
  <c r="BM364" i="1"/>
  <c r="BS364" i="1" s="1"/>
  <c r="BI364" i="1"/>
  <c r="BM470" i="1"/>
  <c r="BS470" i="1" s="1"/>
  <c r="BI470" i="1"/>
  <c r="BM430" i="1"/>
  <c r="BS430" i="1" s="1"/>
  <c r="BI430" i="1"/>
  <c r="BM398" i="1"/>
  <c r="BS398" i="1" s="1"/>
  <c r="BI398" i="1"/>
  <c r="BM358" i="1"/>
  <c r="BS358" i="1" s="1"/>
  <c r="BI358" i="1"/>
  <c r="BM326" i="1"/>
  <c r="BS326" i="1" s="1"/>
  <c r="BI326" i="1"/>
  <c r="BM294" i="1"/>
  <c r="BS294" i="1" s="1"/>
  <c r="BI294" i="1"/>
  <c r="BM262" i="1"/>
  <c r="BS262" i="1" s="1"/>
  <c r="BI262" i="1"/>
  <c r="BM246" i="1"/>
  <c r="BS246" i="1" s="1"/>
  <c r="BI246" i="1"/>
  <c r="BM238" i="1"/>
  <c r="BS238" i="1" s="1"/>
  <c r="BI238" i="1"/>
  <c r="BM206" i="1"/>
  <c r="BS206" i="1" s="1"/>
  <c r="BI206" i="1"/>
  <c r="BM198" i="1"/>
  <c r="BS198" i="1" s="1"/>
  <c r="BI198" i="1"/>
  <c r="BM190" i="1"/>
  <c r="BS190" i="1" s="1"/>
  <c r="BI190" i="1"/>
  <c r="BM182" i="1"/>
  <c r="BS182" i="1" s="1"/>
  <c r="BI182" i="1"/>
  <c r="BM174" i="1"/>
  <c r="BS174" i="1" s="1"/>
  <c r="BI174" i="1"/>
  <c r="BM166" i="1"/>
  <c r="BS166" i="1" s="1"/>
  <c r="BI166" i="1"/>
  <c r="BM158" i="1"/>
  <c r="BS158" i="1" s="1"/>
  <c r="BI158" i="1"/>
  <c r="BM150" i="1"/>
  <c r="BS150" i="1" s="1"/>
  <c r="BI150" i="1"/>
  <c r="BM142" i="1"/>
  <c r="BS142" i="1" s="1"/>
  <c r="BI142" i="1"/>
  <c r="BM134" i="1"/>
  <c r="BS134" i="1" s="1"/>
  <c r="BI134" i="1"/>
  <c r="BM126" i="1"/>
  <c r="BS126" i="1" s="1"/>
  <c r="BI126" i="1"/>
  <c r="BM118" i="1"/>
  <c r="BS118" i="1" s="1"/>
  <c r="BI118" i="1"/>
  <c r="BM110" i="1"/>
  <c r="BS110" i="1" s="1"/>
  <c r="BI110" i="1"/>
  <c r="BM102" i="1"/>
  <c r="BS102" i="1" s="1"/>
  <c r="BI102" i="1"/>
  <c r="BM94" i="1"/>
  <c r="BS94" i="1" s="1"/>
  <c r="BI94" i="1"/>
  <c r="BM86" i="1"/>
  <c r="BS86" i="1" s="1"/>
  <c r="BI86" i="1"/>
  <c r="BM78" i="1"/>
  <c r="BS78" i="1" s="1"/>
  <c r="BI78" i="1"/>
  <c r="BM70" i="1"/>
  <c r="BS70" i="1" s="1"/>
  <c r="BI70" i="1"/>
  <c r="BM62" i="1"/>
  <c r="BS62" i="1" s="1"/>
  <c r="BI62" i="1"/>
  <c r="BM54" i="1"/>
  <c r="BS54" i="1" s="1"/>
  <c r="BI54" i="1"/>
  <c r="BM46" i="1"/>
  <c r="BS46" i="1" s="1"/>
  <c r="BI46" i="1"/>
  <c r="BM38" i="1"/>
  <c r="BS38" i="1" s="1"/>
  <c r="BI38" i="1"/>
  <c r="BM30" i="1"/>
  <c r="BS30" i="1" s="1"/>
  <c r="BI30" i="1"/>
  <c r="BM22" i="1"/>
  <c r="BS22" i="1" s="1"/>
  <c r="BI22" i="1"/>
  <c r="BM14" i="1"/>
  <c r="BS14" i="1" s="1"/>
  <c r="BI14" i="1"/>
  <c r="BM478" i="1"/>
  <c r="BS478" i="1" s="1"/>
  <c r="BI478" i="1"/>
  <c r="BM446" i="1"/>
  <c r="BS446" i="1" s="1"/>
  <c r="BI446" i="1"/>
  <c r="BM414" i="1"/>
  <c r="BS414" i="1" s="1"/>
  <c r="BI414" i="1"/>
  <c r="BM374" i="1"/>
  <c r="BS374" i="1" s="1"/>
  <c r="BI374" i="1"/>
  <c r="BM342" i="1"/>
  <c r="BS342" i="1" s="1"/>
  <c r="BI342" i="1"/>
  <c r="BM310" i="1"/>
  <c r="BS310" i="1" s="1"/>
  <c r="BI310" i="1"/>
  <c r="BM278" i="1"/>
  <c r="BS278" i="1" s="1"/>
  <c r="BI278" i="1"/>
  <c r="BM254" i="1"/>
  <c r="BS254" i="1" s="1"/>
  <c r="BI254" i="1"/>
  <c r="BM222" i="1"/>
  <c r="BS222" i="1" s="1"/>
  <c r="BI222" i="1"/>
  <c r="BM477" i="1"/>
  <c r="BS477" i="1" s="1"/>
  <c r="BI477" i="1"/>
  <c r="BM469" i="1"/>
  <c r="BS469" i="1" s="1"/>
  <c r="BI469" i="1"/>
  <c r="BM461" i="1"/>
  <c r="BS461" i="1" s="1"/>
  <c r="BI461" i="1"/>
  <c r="BM453" i="1"/>
  <c r="BS453" i="1" s="1"/>
  <c r="BI453" i="1"/>
  <c r="BM445" i="1"/>
  <c r="BS445" i="1" s="1"/>
  <c r="BI445" i="1"/>
  <c r="BM437" i="1"/>
  <c r="BS437" i="1" s="1"/>
  <c r="BI437" i="1"/>
  <c r="BM429" i="1"/>
  <c r="BS429" i="1" s="1"/>
  <c r="BI429" i="1"/>
  <c r="BM421" i="1"/>
  <c r="BS421" i="1" s="1"/>
  <c r="BI421" i="1"/>
  <c r="BM413" i="1"/>
  <c r="BS413" i="1" s="1"/>
  <c r="BI413" i="1"/>
  <c r="BM405" i="1"/>
  <c r="BS405" i="1" s="1"/>
  <c r="BI405" i="1"/>
  <c r="BM397" i="1"/>
  <c r="BS397" i="1" s="1"/>
  <c r="BI397" i="1"/>
  <c r="BM389" i="1"/>
  <c r="BS389" i="1" s="1"/>
  <c r="BI389" i="1"/>
  <c r="BM381" i="1"/>
  <c r="BS381" i="1" s="1"/>
  <c r="BI381" i="1"/>
  <c r="BM373" i="1"/>
  <c r="BS373" i="1" s="1"/>
  <c r="BI373" i="1"/>
  <c r="BM365" i="1"/>
  <c r="BS365" i="1" s="1"/>
  <c r="BI365" i="1"/>
  <c r="BM357" i="1"/>
  <c r="BS357" i="1" s="1"/>
  <c r="BI357" i="1"/>
  <c r="BM349" i="1"/>
  <c r="BS349" i="1" s="1"/>
  <c r="BI349" i="1"/>
  <c r="BM341" i="1"/>
  <c r="BS341" i="1" s="1"/>
  <c r="BI341" i="1"/>
  <c r="BM333" i="1"/>
  <c r="BS333" i="1" s="1"/>
  <c r="BI333" i="1"/>
  <c r="BM325" i="1"/>
  <c r="BS325" i="1" s="1"/>
  <c r="BI325" i="1"/>
  <c r="BM317" i="1"/>
  <c r="BS317" i="1" s="1"/>
  <c r="BI317" i="1"/>
  <c r="BM309" i="1"/>
  <c r="BS309" i="1" s="1"/>
  <c r="BI309" i="1"/>
  <c r="BM301" i="1"/>
  <c r="BS301" i="1" s="1"/>
  <c r="BI301" i="1"/>
  <c r="BM293" i="1"/>
  <c r="BS293" i="1" s="1"/>
  <c r="BI293" i="1"/>
  <c r="BM285" i="1"/>
  <c r="BS285" i="1" s="1"/>
  <c r="BI285" i="1"/>
  <c r="BM277" i="1"/>
  <c r="BS277" i="1" s="1"/>
  <c r="BI277" i="1"/>
  <c r="BM269" i="1"/>
  <c r="BS269" i="1" s="1"/>
  <c r="BI269" i="1"/>
  <c r="BM261" i="1"/>
  <c r="BS261" i="1" s="1"/>
  <c r="BI261" i="1"/>
  <c r="BM253" i="1"/>
  <c r="BS253" i="1" s="1"/>
  <c r="BI253" i="1"/>
  <c r="BM245" i="1"/>
  <c r="BS245" i="1" s="1"/>
  <c r="BI245" i="1"/>
  <c r="BM237" i="1"/>
  <c r="BS237" i="1" s="1"/>
  <c r="BI237" i="1"/>
  <c r="BM229" i="1"/>
  <c r="BS229" i="1" s="1"/>
  <c r="BI229" i="1"/>
  <c r="BM221" i="1"/>
  <c r="BS221" i="1" s="1"/>
  <c r="BI221" i="1"/>
  <c r="BM213" i="1"/>
  <c r="BS213" i="1" s="1"/>
  <c r="BI213" i="1"/>
  <c r="BM205" i="1"/>
  <c r="BS205" i="1" s="1"/>
  <c r="BI205" i="1"/>
  <c r="BM197" i="1"/>
  <c r="BS197" i="1" s="1"/>
  <c r="BI197" i="1"/>
  <c r="BM189" i="1"/>
  <c r="BS189" i="1" s="1"/>
  <c r="BI189" i="1"/>
  <c r="BM181" i="1"/>
  <c r="BS181" i="1" s="1"/>
  <c r="BI181" i="1"/>
  <c r="BM173" i="1"/>
  <c r="BS173" i="1" s="1"/>
  <c r="BI173" i="1"/>
  <c r="BM165" i="1"/>
  <c r="BS165" i="1" s="1"/>
  <c r="BI165" i="1"/>
  <c r="BM157" i="1"/>
  <c r="BS157" i="1" s="1"/>
  <c r="BI157" i="1"/>
  <c r="BM149" i="1"/>
  <c r="BS149" i="1" s="1"/>
  <c r="BI149" i="1"/>
  <c r="BM141" i="1"/>
  <c r="BS141" i="1" s="1"/>
  <c r="BI141" i="1"/>
  <c r="BM133" i="1"/>
  <c r="BS133" i="1" s="1"/>
  <c r="BI133" i="1"/>
  <c r="BM125" i="1"/>
  <c r="BS125" i="1" s="1"/>
  <c r="BI125" i="1"/>
  <c r="BM117" i="1"/>
  <c r="BS117" i="1" s="1"/>
  <c r="BI117" i="1"/>
  <c r="BM109" i="1"/>
  <c r="BS109" i="1" s="1"/>
  <c r="BI109" i="1"/>
  <c r="BM101" i="1"/>
  <c r="BS101" i="1" s="1"/>
  <c r="BI101" i="1"/>
  <c r="BM93" i="1"/>
  <c r="BS93" i="1" s="1"/>
  <c r="BI93" i="1"/>
  <c r="BM85" i="1"/>
  <c r="BS85" i="1" s="1"/>
  <c r="BI85" i="1"/>
  <c r="BM77" i="1"/>
  <c r="BS77" i="1" s="1"/>
  <c r="BI77" i="1"/>
  <c r="BM69" i="1"/>
  <c r="BS69" i="1" s="1"/>
  <c r="BI69" i="1"/>
  <c r="BM61" i="1"/>
  <c r="BS61" i="1" s="1"/>
  <c r="BI61" i="1"/>
  <c r="BM53" i="1"/>
  <c r="BS53" i="1" s="1"/>
  <c r="BI53" i="1"/>
  <c r="BM45" i="1"/>
  <c r="BS45" i="1" s="1"/>
  <c r="BI45" i="1"/>
  <c r="BM37" i="1"/>
  <c r="BS37" i="1" s="1"/>
  <c r="BI37" i="1"/>
  <c r="BM29" i="1"/>
  <c r="BS29" i="1" s="1"/>
  <c r="BI29" i="1"/>
  <c r="BM21" i="1"/>
  <c r="BS21" i="1" s="1"/>
  <c r="BI21" i="1"/>
  <c r="BM13" i="1"/>
  <c r="BS13" i="1" s="1"/>
  <c r="BI13" i="1"/>
  <c r="BM486" i="1"/>
  <c r="BS486" i="1" s="1"/>
  <c r="BI486" i="1"/>
  <c r="BM454" i="1"/>
  <c r="BS454" i="1" s="1"/>
  <c r="BI454" i="1"/>
  <c r="BM422" i="1"/>
  <c r="BS422" i="1" s="1"/>
  <c r="BI422" i="1"/>
  <c r="BM390" i="1"/>
  <c r="BS390" i="1" s="1"/>
  <c r="BI390" i="1"/>
  <c r="BM366" i="1"/>
  <c r="BS366" i="1" s="1"/>
  <c r="BI366" i="1"/>
  <c r="BM334" i="1"/>
  <c r="BS334" i="1" s="1"/>
  <c r="BI334" i="1"/>
  <c r="BM302" i="1"/>
  <c r="BS302" i="1" s="1"/>
  <c r="BI302" i="1"/>
  <c r="BM270" i="1"/>
  <c r="BS270" i="1" s="1"/>
  <c r="BI270" i="1"/>
  <c r="BM230" i="1"/>
  <c r="BS230" i="1" s="1"/>
  <c r="BI230" i="1"/>
  <c r="BM493" i="1"/>
  <c r="BS493" i="1" s="1"/>
  <c r="BI493" i="1"/>
  <c r="BM492" i="1"/>
  <c r="BS492" i="1" s="1"/>
  <c r="BI492" i="1"/>
  <c r="BM484" i="1"/>
  <c r="BS484" i="1" s="1"/>
  <c r="BI484" i="1"/>
  <c r="BM476" i="1"/>
  <c r="BS476" i="1" s="1"/>
  <c r="BI476" i="1"/>
  <c r="BM468" i="1"/>
  <c r="BS468" i="1" s="1"/>
  <c r="BI468" i="1"/>
  <c r="BM460" i="1"/>
  <c r="BS460" i="1" s="1"/>
  <c r="BI460" i="1"/>
  <c r="BM452" i="1"/>
  <c r="BS452" i="1" s="1"/>
  <c r="BI452" i="1"/>
  <c r="BM444" i="1"/>
  <c r="BS444" i="1" s="1"/>
  <c r="BI444" i="1"/>
  <c r="BM436" i="1"/>
  <c r="BS436" i="1" s="1"/>
  <c r="BI436" i="1"/>
  <c r="BM428" i="1"/>
  <c r="BS428" i="1" s="1"/>
  <c r="BI428" i="1"/>
  <c r="BM420" i="1"/>
  <c r="BS420" i="1" s="1"/>
  <c r="BI420" i="1"/>
  <c r="BM412" i="1"/>
  <c r="BS412" i="1" s="1"/>
  <c r="BI412" i="1"/>
  <c r="BM404" i="1"/>
  <c r="BS404" i="1" s="1"/>
  <c r="BI404" i="1"/>
  <c r="BM396" i="1"/>
  <c r="BS396" i="1" s="1"/>
  <c r="BI396" i="1"/>
  <c r="BM388" i="1"/>
  <c r="BS388" i="1" s="1"/>
  <c r="BI388" i="1"/>
  <c r="BM380" i="1"/>
  <c r="BS380" i="1" s="1"/>
  <c r="BI380" i="1"/>
  <c r="BM372" i="1"/>
  <c r="BS372" i="1" s="1"/>
  <c r="BI372" i="1"/>
  <c r="BM356" i="1"/>
  <c r="BS356" i="1" s="1"/>
  <c r="BI356" i="1"/>
  <c r="BM348" i="1"/>
  <c r="BS348" i="1" s="1"/>
  <c r="BI348" i="1"/>
  <c r="BM340" i="1"/>
  <c r="BS340" i="1" s="1"/>
  <c r="BI340" i="1"/>
  <c r="BM332" i="1"/>
  <c r="BS332" i="1" s="1"/>
  <c r="BI332" i="1"/>
  <c r="BM324" i="1"/>
  <c r="BS324" i="1" s="1"/>
  <c r="BI324" i="1"/>
  <c r="BM316" i="1"/>
  <c r="BS316" i="1" s="1"/>
  <c r="BI316" i="1"/>
  <c r="BM308" i="1"/>
  <c r="BS308" i="1" s="1"/>
  <c r="BI308" i="1"/>
  <c r="BM300" i="1"/>
  <c r="BS300" i="1" s="1"/>
  <c r="BI300" i="1"/>
  <c r="BM292" i="1"/>
  <c r="BS292" i="1" s="1"/>
  <c r="BI292" i="1"/>
  <c r="BM284" i="1"/>
  <c r="BS284" i="1" s="1"/>
  <c r="BI284" i="1"/>
  <c r="BM276" i="1"/>
  <c r="BS276" i="1" s="1"/>
  <c r="BI276" i="1"/>
  <c r="BM268" i="1"/>
  <c r="BS268" i="1" s="1"/>
  <c r="BI268" i="1"/>
  <c r="BM260" i="1"/>
  <c r="BS260" i="1" s="1"/>
  <c r="BI260" i="1"/>
  <c r="BM252" i="1"/>
  <c r="BS252" i="1" s="1"/>
  <c r="BI252" i="1"/>
  <c r="BM244" i="1"/>
  <c r="BS244" i="1" s="1"/>
  <c r="BI244" i="1"/>
  <c r="BM236" i="1"/>
  <c r="BS236" i="1" s="1"/>
  <c r="BI236" i="1"/>
  <c r="BM228" i="1"/>
  <c r="BS228" i="1" s="1"/>
  <c r="BI228" i="1"/>
  <c r="BM220" i="1"/>
  <c r="BS220" i="1" s="1"/>
  <c r="BI220" i="1"/>
  <c r="BM212" i="1"/>
  <c r="BS212" i="1" s="1"/>
  <c r="BI212" i="1"/>
  <c r="BM204" i="1"/>
  <c r="BS204" i="1" s="1"/>
  <c r="BI204" i="1"/>
  <c r="BM196" i="1"/>
  <c r="BS196" i="1" s="1"/>
  <c r="BI196" i="1"/>
  <c r="BM188" i="1"/>
  <c r="BS188" i="1" s="1"/>
  <c r="BI188" i="1"/>
  <c r="BM180" i="1"/>
  <c r="BS180" i="1" s="1"/>
  <c r="BI180" i="1"/>
  <c r="BM172" i="1"/>
  <c r="BS172" i="1" s="1"/>
  <c r="BI172" i="1"/>
  <c r="BM164" i="1"/>
  <c r="BS164" i="1" s="1"/>
  <c r="BI164" i="1"/>
  <c r="BM156" i="1"/>
  <c r="BS156" i="1" s="1"/>
  <c r="BI156" i="1"/>
  <c r="BM148" i="1"/>
  <c r="BS148" i="1" s="1"/>
  <c r="BI148" i="1"/>
  <c r="BM140" i="1"/>
  <c r="BS140" i="1" s="1"/>
  <c r="BI140" i="1"/>
  <c r="BM132" i="1"/>
  <c r="BS132" i="1" s="1"/>
  <c r="BI132" i="1"/>
  <c r="BM124" i="1"/>
  <c r="BS124" i="1" s="1"/>
  <c r="BI124" i="1"/>
  <c r="BM116" i="1"/>
  <c r="BS116" i="1" s="1"/>
  <c r="BI116" i="1"/>
  <c r="BM108" i="1"/>
  <c r="BS108" i="1" s="1"/>
  <c r="BI108" i="1"/>
  <c r="BM100" i="1"/>
  <c r="BS100" i="1" s="1"/>
  <c r="BI100" i="1"/>
  <c r="BM92" i="1"/>
  <c r="BS92" i="1" s="1"/>
  <c r="BI92" i="1"/>
  <c r="BM84" i="1"/>
  <c r="BS84" i="1" s="1"/>
  <c r="BI84" i="1"/>
  <c r="BM76" i="1"/>
  <c r="BS76" i="1" s="1"/>
  <c r="BI76" i="1"/>
  <c r="BM68" i="1"/>
  <c r="BS68" i="1" s="1"/>
  <c r="BI68" i="1"/>
  <c r="BM60" i="1"/>
  <c r="BS60" i="1" s="1"/>
  <c r="BI60" i="1"/>
  <c r="BM52" i="1"/>
  <c r="BS52" i="1" s="1"/>
  <c r="BI52" i="1"/>
  <c r="BM44" i="1"/>
  <c r="BS44" i="1" s="1"/>
  <c r="BI44" i="1"/>
  <c r="BM36" i="1"/>
  <c r="BS36" i="1" s="1"/>
  <c r="BI36" i="1"/>
  <c r="BM28" i="1"/>
  <c r="BS28" i="1" s="1"/>
  <c r="BI28" i="1"/>
  <c r="BM20" i="1"/>
  <c r="BS20" i="1" s="1"/>
  <c r="BI20" i="1"/>
  <c r="BM12" i="1"/>
  <c r="BS12" i="1" s="1"/>
  <c r="BI12" i="1"/>
  <c r="BM494" i="1"/>
  <c r="BS494" i="1" s="1"/>
  <c r="BI494" i="1"/>
  <c r="BM462" i="1"/>
  <c r="BS462" i="1" s="1"/>
  <c r="BI462" i="1"/>
  <c r="BM438" i="1"/>
  <c r="BS438" i="1" s="1"/>
  <c r="BI438" i="1"/>
  <c r="BM406" i="1"/>
  <c r="BS406" i="1" s="1"/>
  <c r="BI406" i="1"/>
  <c r="BM382" i="1"/>
  <c r="BS382" i="1" s="1"/>
  <c r="BI382" i="1"/>
  <c r="BM350" i="1"/>
  <c r="BS350" i="1" s="1"/>
  <c r="BI350" i="1"/>
  <c r="BM318" i="1"/>
  <c r="BS318" i="1" s="1"/>
  <c r="BI318" i="1"/>
  <c r="BM286" i="1"/>
  <c r="BS286" i="1" s="1"/>
  <c r="BI286" i="1"/>
  <c r="BM214" i="1"/>
  <c r="BS214" i="1" s="1"/>
  <c r="BI214" i="1"/>
  <c r="BM485" i="1"/>
  <c r="BS485" i="1" s="1"/>
  <c r="BI485" i="1"/>
  <c r="BM491" i="1"/>
  <c r="BS491" i="1" s="1"/>
  <c r="BI491" i="1"/>
  <c r="BM483" i="1"/>
  <c r="BS483" i="1" s="1"/>
  <c r="BI483" i="1"/>
  <c r="BM475" i="1"/>
  <c r="BS475" i="1" s="1"/>
  <c r="BI475" i="1"/>
  <c r="BM467" i="1"/>
  <c r="BS467" i="1" s="1"/>
  <c r="BI467" i="1"/>
  <c r="BM459" i="1"/>
  <c r="BS459" i="1" s="1"/>
  <c r="BI459" i="1"/>
  <c r="BM451" i="1"/>
  <c r="BS451" i="1" s="1"/>
  <c r="BI451" i="1"/>
  <c r="BM443" i="1"/>
  <c r="BS443" i="1" s="1"/>
  <c r="BI443" i="1"/>
  <c r="BM435" i="1"/>
  <c r="BS435" i="1" s="1"/>
  <c r="BI435" i="1"/>
  <c r="BM427" i="1"/>
  <c r="BS427" i="1" s="1"/>
  <c r="BI427" i="1"/>
  <c r="BM419" i="1"/>
  <c r="BS419" i="1" s="1"/>
  <c r="BI419" i="1"/>
  <c r="BM411" i="1"/>
  <c r="BS411" i="1" s="1"/>
  <c r="BI411" i="1"/>
  <c r="BM403" i="1"/>
  <c r="BS403" i="1" s="1"/>
  <c r="BI403" i="1"/>
  <c r="BM395" i="1"/>
  <c r="BS395" i="1" s="1"/>
  <c r="BI395" i="1"/>
  <c r="BM387" i="1"/>
  <c r="BS387" i="1" s="1"/>
  <c r="BI387" i="1"/>
  <c r="BM379" i="1"/>
  <c r="BS379" i="1" s="1"/>
  <c r="BI379" i="1"/>
  <c r="BM371" i="1"/>
  <c r="BS371" i="1" s="1"/>
  <c r="BI371" i="1"/>
  <c r="BM363" i="1"/>
  <c r="BS363" i="1" s="1"/>
  <c r="BI363" i="1"/>
  <c r="BM355" i="1"/>
  <c r="BS355" i="1" s="1"/>
  <c r="BI355" i="1"/>
  <c r="BM347" i="1"/>
  <c r="BS347" i="1" s="1"/>
  <c r="BI347" i="1"/>
  <c r="BM339" i="1"/>
  <c r="BS339" i="1" s="1"/>
  <c r="BI339" i="1"/>
  <c r="BM331" i="1"/>
  <c r="BS331" i="1" s="1"/>
  <c r="BI331" i="1"/>
  <c r="BM323" i="1"/>
  <c r="BS323" i="1" s="1"/>
  <c r="BI323" i="1"/>
  <c r="BM315" i="1"/>
  <c r="BS315" i="1" s="1"/>
  <c r="BI315" i="1"/>
  <c r="BM307" i="1"/>
  <c r="BS307" i="1" s="1"/>
  <c r="BI307" i="1"/>
  <c r="BM299" i="1"/>
  <c r="BS299" i="1" s="1"/>
  <c r="BI299" i="1"/>
  <c r="BM291" i="1"/>
  <c r="BS291" i="1" s="1"/>
  <c r="BI291" i="1"/>
  <c r="BM283" i="1"/>
  <c r="BS283" i="1" s="1"/>
  <c r="BI283" i="1"/>
  <c r="BM275" i="1"/>
  <c r="BS275" i="1" s="1"/>
  <c r="BI275" i="1"/>
  <c r="BM267" i="1"/>
  <c r="BS267" i="1" s="1"/>
  <c r="BI267" i="1"/>
  <c r="BM259" i="1"/>
  <c r="BS259" i="1" s="1"/>
  <c r="BI259" i="1"/>
  <c r="BM251" i="1"/>
  <c r="BS251" i="1" s="1"/>
  <c r="BI251" i="1"/>
  <c r="BM243" i="1"/>
  <c r="BS243" i="1" s="1"/>
  <c r="BI243" i="1"/>
  <c r="BM235" i="1"/>
  <c r="BS235" i="1" s="1"/>
  <c r="BI235" i="1"/>
  <c r="BM227" i="1"/>
  <c r="BS227" i="1" s="1"/>
  <c r="BI227" i="1"/>
  <c r="BM219" i="1"/>
  <c r="BS219" i="1" s="1"/>
  <c r="BI219" i="1"/>
  <c r="BM211" i="1"/>
  <c r="BS211" i="1" s="1"/>
  <c r="BI211" i="1"/>
  <c r="BM203" i="1"/>
  <c r="BS203" i="1" s="1"/>
  <c r="BI203" i="1"/>
  <c r="BM195" i="1"/>
  <c r="BS195" i="1" s="1"/>
  <c r="BI195" i="1"/>
  <c r="BM187" i="1"/>
  <c r="BS187" i="1" s="1"/>
  <c r="BI187" i="1"/>
  <c r="BM179" i="1"/>
  <c r="BS179" i="1" s="1"/>
  <c r="BI179" i="1"/>
  <c r="BM171" i="1"/>
  <c r="BS171" i="1" s="1"/>
  <c r="BI171" i="1"/>
  <c r="BM163" i="1"/>
  <c r="BS163" i="1" s="1"/>
  <c r="BI163" i="1"/>
  <c r="BM155" i="1"/>
  <c r="BS155" i="1" s="1"/>
  <c r="BI155" i="1"/>
  <c r="BM147" i="1"/>
  <c r="BS147" i="1" s="1"/>
  <c r="BI147" i="1"/>
  <c r="BM139" i="1"/>
  <c r="BS139" i="1" s="1"/>
  <c r="BI139" i="1"/>
  <c r="BM131" i="1"/>
  <c r="BS131" i="1" s="1"/>
  <c r="BI131" i="1"/>
  <c r="BM123" i="1"/>
  <c r="BS123" i="1" s="1"/>
  <c r="BI123" i="1"/>
  <c r="BM115" i="1"/>
  <c r="BS115" i="1" s="1"/>
  <c r="BI115" i="1"/>
  <c r="BM107" i="1"/>
  <c r="BS107" i="1" s="1"/>
  <c r="BI107" i="1"/>
  <c r="BM99" i="1"/>
  <c r="BS99" i="1" s="1"/>
  <c r="BI99" i="1"/>
  <c r="BM91" i="1"/>
  <c r="BS91" i="1" s="1"/>
  <c r="BI91" i="1"/>
  <c r="BM83" i="1"/>
  <c r="BS83" i="1" s="1"/>
  <c r="BI83" i="1"/>
  <c r="BM75" i="1"/>
  <c r="BS75" i="1" s="1"/>
  <c r="BI75" i="1"/>
  <c r="BM67" i="1"/>
  <c r="BS67" i="1" s="1"/>
  <c r="BI67" i="1"/>
  <c r="BM59" i="1"/>
  <c r="BS59" i="1" s="1"/>
  <c r="BI59" i="1"/>
  <c r="BM51" i="1"/>
  <c r="BS51" i="1" s="1"/>
  <c r="BI51" i="1"/>
  <c r="BM43" i="1"/>
  <c r="BS43" i="1" s="1"/>
  <c r="BI43" i="1"/>
  <c r="BM35" i="1"/>
  <c r="BS35" i="1" s="1"/>
  <c r="BI35" i="1"/>
  <c r="BM27" i="1"/>
  <c r="BS27" i="1" s="1"/>
  <c r="BI27" i="1"/>
  <c r="BM19" i="1"/>
  <c r="BS19" i="1" s="1"/>
  <c r="BI19" i="1"/>
  <c r="BM11" i="1"/>
  <c r="BS11" i="1" s="1"/>
  <c r="BI11" i="1"/>
  <c r="BM490" i="1"/>
  <c r="BS490" i="1" s="1"/>
  <c r="BI490" i="1"/>
  <c r="BM450" i="1"/>
  <c r="BS450" i="1" s="1"/>
  <c r="BI450" i="1"/>
  <c r="BM410" i="1"/>
  <c r="BS410" i="1" s="1"/>
  <c r="BI410" i="1"/>
  <c r="BM370" i="1"/>
  <c r="BS370" i="1" s="1"/>
  <c r="BI370" i="1"/>
  <c r="BM338" i="1"/>
  <c r="BS338" i="1" s="1"/>
  <c r="BI338" i="1"/>
  <c r="BM306" i="1"/>
  <c r="BS306" i="1" s="1"/>
  <c r="BI306" i="1"/>
  <c r="BM274" i="1"/>
  <c r="BS274" i="1" s="1"/>
  <c r="BI274" i="1"/>
  <c r="BM250" i="1"/>
  <c r="BS250" i="1" s="1"/>
  <c r="BI250" i="1"/>
  <c r="BM226" i="1"/>
  <c r="BS226" i="1" s="1"/>
  <c r="BI226" i="1"/>
  <c r="BM218" i="1"/>
  <c r="BS218" i="1" s="1"/>
  <c r="BI218" i="1"/>
  <c r="BM202" i="1"/>
  <c r="BS202" i="1" s="1"/>
  <c r="BI202" i="1"/>
  <c r="BM194" i="1"/>
  <c r="BS194" i="1" s="1"/>
  <c r="BI194" i="1"/>
  <c r="BM186" i="1"/>
  <c r="BS186" i="1" s="1"/>
  <c r="BI186" i="1"/>
  <c r="BM178" i="1"/>
  <c r="BS178" i="1" s="1"/>
  <c r="BI178" i="1"/>
  <c r="BM170" i="1"/>
  <c r="BS170" i="1" s="1"/>
  <c r="BI170" i="1"/>
  <c r="BM162" i="1"/>
  <c r="BS162" i="1" s="1"/>
  <c r="BI162" i="1"/>
  <c r="BM154" i="1"/>
  <c r="BS154" i="1" s="1"/>
  <c r="BI154" i="1"/>
  <c r="BM146" i="1"/>
  <c r="BS146" i="1" s="1"/>
  <c r="BI146" i="1"/>
  <c r="BM138" i="1"/>
  <c r="BS138" i="1" s="1"/>
  <c r="BI138" i="1"/>
  <c r="BM130" i="1"/>
  <c r="BS130" i="1" s="1"/>
  <c r="BI130" i="1"/>
  <c r="BM122" i="1"/>
  <c r="BS122" i="1" s="1"/>
  <c r="BI122" i="1"/>
  <c r="BM114" i="1"/>
  <c r="BS114" i="1" s="1"/>
  <c r="BI114" i="1"/>
  <c r="BM106" i="1"/>
  <c r="BS106" i="1" s="1"/>
  <c r="BI106" i="1"/>
  <c r="BM98" i="1"/>
  <c r="BS98" i="1" s="1"/>
  <c r="BI98" i="1"/>
  <c r="BM90" i="1"/>
  <c r="BS90" i="1" s="1"/>
  <c r="BI90" i="1"/>
  <c r="BM82" i="1"/>
  <c r="BS82" i="1" s="1"/>
  <c r="BI82" i="1"/>
  <c r="BM74" i="1"/>
  <c r="BS74" i="1" s="1"/>
  <c r="BI74" i="1"/>
  <c r="BM66" i="1"/>
  <c r="BS66" i="1" s="1"/>
  <c r="BI66" i="1"/>
  <c r="BM58" i="1"/>
  <c r="BS58" i="1" s="1"/>
  <c r="BI58" i="1"/>
  <c r="BM50" i="1"/>
  <c r="BS50" i="1" s="1"/>
  <c r="BI50" i="1"/>
  <c r="BM42" i="1"/>
  <c r="BS42" i="1" s="1"/>
  <c r="BI42" i="1"/>
  <c r="BM34" i="1"/>
  <c r="BS34" i="1" s="1"/>
  <c r="BI34" i="1"/>
  <c r="BM26" i="1"/>
  <c r="BS26" i="1" s="1"/>
  <c r="BI26" i="1"/>
  <c r="BM18" i="1"/>
  <c r="BS18" i="1" s="1"/>
  <c r="BI18" i="1"/>
  <c r="BM10" i="1"/>
  <c r="BS10" i="1" s="1"/>
  <c r="BI10" i="1"/>
  <c r="BM7" i="1"/>
  <c r="BS7" i="1" s="1"/>
  <c r="BI7" i="1"/>
  <c r="BM466" i="1"/>
  <c r="BS466" i="1" s="1"/>
  <c r="BI466" i="1"/>
  <c r="BM434" i="1"/>
  <c r="BS434" i="1" s="1"/>
  <c r="BI434" i="1"/>
  <c r="BM402" i="1"/>
  <c r="BS402" i="1" s="1"/>
  <c r="BI402" i="1"/>
  <c r="BM378" i="1"/>
  <c r="BS378" i="1" s="1"/>
  <c r="BI378" i="1"/>
  <c r="BM346" i="1"/>
  <c r="BS346" i="1" s="1"/>
  <c r="BI346" i="1"/>
  <c r="BM314" i="1"/>
  <c r="BS314" i="1" s="1"/>
  <c r="BI314" i="1"/>
  <c r="BM282" i="1"/>
  <c r="BS282" i="1" s="1"/>
  <c r="BI282" i="1"/>
  <c r="BM258" i="1"/>
  <c r="BS258" i="1" s="1"/>
  <c r="BI258" i="1"/>
  <c r="BM234" i="1"/>
  <c r="BS234" i="1" s="1"/>
  <c r="BI234" i="1"/>
  <c r="BM210" i="1"/>
  <c r="BS210" i="1" s="1"/>
  <c r="BI210" i="1"/>
  <c r="BM497" i="1"/>
  <c r="BS497" i="1" s="1"/>
  <c r="BI497" i="1"/>
  <c r="BM489" i="1"/>
  <c r="BS489" i="1" s="1"/>
  <c r="BI489" i="1"/>
  <c r="BM481" i="1"/>
  <c r="BS481" i="1" s="1"/>
  <c r="BI481" i="1"/>
  <c r="BM473" i="1"/>
  <c r="BS473" i="1" s="1"/>
  <c r="BI473" i="1"/>
  <c r="BM465" i="1"/>
  <c r="BS465" i="1" s="1"/>
  <c r="BI465" i="1"/>
  <c r="BM457" i="1"/>
  <c r="BS457" i="1" s="1"/>
  <c r="BI457" i="1"/>
  <c r="BM449" i="1"/>
  <c r="BS449" i="1" s="1"/>
  <c r="BI449" i="1"/>
  <c r="BM441" i="1"/>
  <c r="BS441" i="1" s="1"/>
  <c r="BI441" i="1"/>
  <c r="BM433" i="1"/>
  <c r="BS433" i="1" s="1"/>
  <c r="BI433" i="1"/>
  <c r="BM425" i="1"/>
  <c r="BS425" i="1" s="1"/>
  <c r="BI425" i="1"/>
  <c r="BM417" i="1"/>
  <c r="BS417" i="1" s="1"/>
  <c r="BI417" i="1"/>
  <c r="BM409" i="1"/>
  <c r="BS409" i="1" s="1"/>
  <c r="BI409" i="1"/>
  <c r="BM401" i="1"/>
  <c r="BS401" i="1" s="1"/>
  <c r="BI401" i="1"/>
  <c r="BM393" i="1"/>
  <c r="BS393" i="1" s="1"/>
  <c r="BI393" i="1"/>
  <c r="BM385" i="1"/>
  <c r="BS385" i="1" s="1"/>
  <c r="BI385" i="1"/>
  <c r="BM377" i="1"/>
  <c r="BS377" i="1" s="1"/>
  <c r="BI377" i="1"/>
  <c r="BM369" i="1"/>
  <c r="BS369" i="1" s="1"/>
  <c r="BI369" i="1"/>
  <c r="BM361" i="1"/>
  <c r="BS361" i="1" s="1"/>
  <c r="BI361" i="1"/>
  <c r="BM353" i="1"/>
  <c r="BS353" i="1" s="1"/>
  <c r="BI353" i="1"/>
  <c r="BM345" i="1"/>
  <c r="BS345" i="1" s="1"/>
  <c r="BI345" i="1"/>
  <c r="BM337" i="1"/>
  <c r="BS337" i="1" s="1"/>
  <c r="BI337" i="1"/>
  <c r="BM329" i="1"/>
  <c r="BS329" i="1" s="1"/>
  <c r="BI329" i="1"/>
  <c r="BM321" i="1"/>
  <c r="BS321" i="1" s="1"/>
  <c r="BI321" i="1"/>
  <c r="BM313" i="1"/>
  <c r="BS313" i="1" s="1"/>
  <c r="BI313" i="1"/>
  <c r="BM305" i="1"/>
  <c r="BS305" i="1" s="1"/>
  <c r="BI305" i="1"/>
  <c r="BM297" i="1"/>
  <c r="BS297" i="1" s="1"/>
  <c r="BI297" i="1"/>
  <c r="BM289" i="1"/>
  <c r="BS289" i="1" s="1"/>
  <c r="BI289" i="1"/>
  <c r="BM281" i="1"/>
  <c r="BS281" i="1" s="1"/>
  <c r="BI281" i="1"/>
  <c r="BM273" i="1"/>
  <c r="BS273" i="1" s="1"/>
  <c r="BI273" i="1"/>
  <c r="BM265" i="1"/>
  <c r="BS265" i="1" s="1"/>
  <c r="BI265" i="1"/>
  <c r="BM257" i="1"/>
  <c r="BS257" i="1" s="1"/>
  <c r="BI257" i="1"/>
  <c r="BM249" i="1"/>
  <c r="BS249" i="1" s="1"/>
  <c r="BI249" i="1"/>
  <c r="BM241" i="1"/>
  <c r="BS241" i="1" s="1"/>
  <c r="BI241" i="1"/>
  <c r="BM233" i="1"/>
  <c r="BS233" i="1" s="1"/>
  <c r="BI233" i="1"/>
  <c r="BM225" i="1"/>
  <c r="BS225" i="1" s="1"/>
  <c r="BI225" i="1"/>
  <c r="BM217" i="1"/>
  <c r="BS217" i="1" s="1"/>
  <c r="BI217" i="1"/>
  <c r="BM209" i="1"/>
  <c r="BS209" i="1" s="1"/>
  <c r="BI209" i="1"/>
  <c r="BM201" i="1"/>
  <c r="BS201" i="1" s="1"/>
  <c r="BI201" i="1"/>
  <c r="BM193" i="1"/>
  <c r="BS193" i="1" s="1"/>
  <c r="BI193" i="1"/>
  <c r="BM185" i="1"/>
  <c r="BS185" i="1" s="1"/>
  <c r="BI185" i="1"/>
  <c r="BM177" i="1"/>
  <c r="BS177" i="1" s="1"/>
  <c r="BI177" i="1"/>
  <c r="BM169" i="1"/>
  <c r="BS169" i="1" s="1"/>
  <c r="BI169" i="1"/>
  <c r="BM161" i="1"/>
  <c r="BS161" i="1" s="1"/>
  <c r="BI161" i="1"/>
  <c r="BM153" i="1"/>
  <c r="BS153" i="1" s="1"/>
  <c r="BI153" i="1"/>
  <c r="BM145" i="1"/>
  <c r="BS145" i="1" s="1"/>
  <c r="BI145" i="1"/>
  <c r="BM137" i="1"/>
  <c r="BS137" i="1" s="1"/>
  <c r="BI137" i="1"/>
  <c r="BM129" i="1"/>
  <c r="BS129" i="1" s="1"/>
  <c r="BI129" i="1"/>
  <c r="BM121" i="1"/>
  <c r="BS121" i="1" s="1"/>
  <c r="BI121" i="1"/>
  <c r="BM113" i="1"/>
  <c r="BS113" i="1" s="1"/>
  <c r="BI113" i="1"/>
  <c r="BM105" i="1"/>
  <c r="BS105" i="1" s="1"/>
  <c r="BI105" i="1"/>
  <c r="BM97" i="1"/>
  <c r="BS97" i="1" s="1"/>
  <c r="BI97" i="1"/>
  <c r="BM89" i="1"/>
  <c r="BS89" i="1" s="1"/>
  <c r="BI89" i="1"/>
  <c r="BM81" i="1"/>
  <c r="BS81" i="1" s="1"/>
  <c r="BI81" i="1"/>
  <c r="BM73" i="1"/>
  <c r="BS73" i="1" s="1"/>
  <c r="BI73" i="1"/>
  <c r="BM65" i="1"/>
  <c r="BS65" i="1" s="1"/>
  <c r="BI65" i="1"/>
  <c r="BM57" i="1"/>
  <c r="BS57" i="1" s="1"/>
  <c r="BI57" i="1"/>
  <c r="BM49" i="1"/>
  <c r="BS49" i="1" s="1"/>
  <c r="BI49" i="1"/>
  <c r="BM41" i="1"/>
  <c r="BS41" i="1" s="1"/>
  <c r="BI41" i="1"/>
  <c r="BM33" i="1"/>
  <c r="BS33" i="1" s="1"/>
  <c r="BI33" i="1"/>
  <c r="BM25" i="1"/>
  <c r="BS25" i="1" s="1"/>
  <c r="BI25" i="1"/>
  <c r="BM17" i="1"/>
  <c r="BS17" i="1" s="1"/>
  <c r="BI17" i="1"/>
  <c r="BM9" i="1"/>
  <c r="BS9" i="1" s="1"/>
  <c r="BI9" i="1"/>
  <c r="AX550" i="1"/>
  <c r="AV550" i="1"/>
  <c r="BH550" i="1"/>
  <c r="AO486" i="1"/>
  <c r="AO474" i="1"/>
  <c r="AO497" i="1"/>
  <c r="AO485" i="1"/>
  <c r="AO473" i="1"/>
  <c r="AO496" i="1"/>
  <c r="AO484" i="1"/>
  <c r="AO472" i="1"/>
  <c r="AO495" i="1"/>
  <c r="AO483" i="1"/>
  <c r="AO471" i="1"/>
  <c r="AO494" i="1"/>
  <c r="AO482" i="1"/>
  <c r="AO470" i="1"/>
  <c r="AO493" i="1"/>
  <c r="AO481" i="1"/>
  <c r="AO469" i="1"/>
  <c r="AO492" i="1"/>
  <c r="AO480" i="1"/>
  <c r="AO468" i="1"/>
  <c r="AO491" i="1"/>
  <c r="AO479" i="1"/>
  <c r="AO467" i="1"/>
  <c r="AO490" i="1"/>
  <c r="AO478" i="1"/>
  <c r="AO466" i="1"/>
  <c r="AO489" i="1"/>
  <c r="AO477" i="1"/>
  <c r="AO465" i="1"/>
  <c r="AO488" i="1"/>
  <c r="AO476" i="1"/>
  <c r="AO464" i="1"/>
  <c r="AO487" i="1"/>
  <c r="AO475" i="1"/>
  <c r="AO463" i="1"/>
  <c r="BI550" i="1" l="1"/>
  <c r="BM550" i="1"/>
  <c r="BT434" i="1"/>
  <c r="AO438" i="1"/>
  <c r="AO437" i="1"/>
  <c r="AO436" i="1"/>
  <c r="AO435" i="1"/>
  <c r="AO434" i="1"/>
  <c r="AO433" i="1"/>
  <c r="AO432" i="1"/>
  <c r="AO431" i="1"/>
  <c r="AO430" i="1"/>
  <c r="BT438" i="1"/>
  <c r="CE438" i="1"/>
  <c r="BT436" i="1"/>
  <c r="CE436" i="1"/>
  <c r="BT437" i="1"/>
  <c r="CE437" i="1"/>
  <c r="BT435" i="1"/>
  <c r="CE435" i="1"/>
  <c r="BT430" i="1"/>
  <c r="BT431" i="1"/>
  <c r="CE430" i="1"/>
  <c r="CE431" i="1"/>
  <c r="BT432" i="1"/>
  <c r="BT433" i="1"/>
  <c r="CE432" i="1"/>
  <c r="CE433" i="1"/>
  <c r="CE434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0" i="1"/>
  <c r="AO41" i="1"/>
  <c r="AO42" i="1"/>
  <c r="AO43" i="1"/>
  <c r="AO44" i="1"/>
  <c r="AO45" i="1"/>
  <c r="AO46" i="1"/>
  <c r="AO47" i="1"/>
  <c r="AO48" i="1"/>
  <c r="AO49" i="1"/>
  <c r="AO50" i="1"/>
  <c r="AO51" i="1"/>
  <c r="AO52" i="1"/>
  <c r="AO53" i="1"/>
  <c r="AO54" i="1"/>
  <c r="AO55" i="1"/>
  <c r="AO56" i="1"/>
  <c r="AO57" i="1"/>
  <c r="AO58" i="1"/>
  <c r="AO59" i="1"/>
  <c r="AO60" i="1"/>
  <c r="AO61" i="1"/>
  <c r="AO62" i="1"/>
  <c r="AO63" i="1"/>
  <c r="AO64" i="1"/>
  <c r="AO65" i="1"/>
  <c r="AO66" i="1"/>
  <c r="AO67" i="1"/>
  <c r="AO68" i="1"/>
  <c r="AO69" i="1"/>
  <c r="AO70" i="1"/>
  <c r="AO71" i="1"/>
  <c r="AO72" i="1"/>
  <c r="AO73" i="1"/>
  <c r="AO74" i="1"/>
  <c r="AO75" i="1"/>
  <c r="AO76" i="1"/>
  <c r="AO77" i="1"/>
  <c r="AO78" i="1"/>
  <c r="AO79" i="1"/>
  <c r="AO80" i="1"/>
  <c r="AO81" i="1"/>
  <c r="AO82" i="1"/>
  <c r="AO83" i="1"/>
  <c r="AO84" i="1"/>
  <c r="AO85" i="1"/>
  <c r="AO86" i="1"/>
  <c r="AO87" i="1"/>
  <c r="AO88" i="1"/>
  <c r="AO89" i="1"/>
  <c r="AO90" i="1"/>
  <c r="AO91" i="1"/>
  <c r="AO92" i="1"/>
  <c r="AO93" i="1"/>
  <c r="AO94" i="1"/>
  <c r="AO95" i="1"/>
  <c r="AO96" i="1"/>
  <c r="AO97" i="1"/>
  <c r="AO98" i="1"/>
  <c r="AO99" i="1"/>
  <c r="AO100" i="1"/>
  <c r="AO101" i="1"/>
  <c r="AO102" i="1"/>
  <c r="AO103" i="1"/>
  <c r="AO104" i="1"/>
  <c r="AO105" i="1"/>
  <c r="AO106" i="1"/>
  <c r="AO107" i="1"/>
  <c r="AO108" i="1"/>
  <c r="AO109" i="1"/>
  <c r="AO110" i="1"/>
  <c r="AO111" i="1"/>
  <c r="AO112" i="1"/>
  <c r="AO113" i="1"/>
  <c r="AO114" i="1"/>
  <c r="AO115" i="1"/>
  <c r="AO116" i="1"/>
  <c r="AO117" i="1"/>
  <c r="AO118" i="1"/>
  <c r="AO119" i="1"/>
  <c r="AO120" i="1"/>
  <c r="AO121" i="1"/>
  <c r="AO122" i="1"/>
  <c r="AO123" i="1"/>
  <c r="AO124" i="1"/>
  <c r="AO125" i="1"/>
  <c r="AO126" i="1"/>
  <c r="AO127" i="1"/>
  <c r="AO128" i="1"/>
  <c r="AO129" i="1"/>
  <c r="AO130" i="1"/>
  <c r="AO131" i="1"/>
  <c r="AO132" i="1"/>
  <c r="AO133" i="1"/>
  <c r="AO134" i="1"/>
  <c r="AO135" i="1"/>
  <c r="AO136" i="1"/>
  <c r="AO137" i="1"/>
  <c r="AO138" i="1"/>
  <c r="AO139" i="1"/>
  <c r="AO140" i="1"/>
  <c r="AO141" i="1"/>
  <c r="AO142" i="1"/>
  <c r="AO143" i="1"/>
  <c r="AO144" i="1"/>
  <c r="AO145" i="1"/>
  <c r="AO146" i="1"/>
  <c r="AO147" i="1"/>
  <c r="AO148" i="1"/>
  <c r="AO149" i="1"/>
  <c r="AO150" i="1"/>
  <c r="AO151" i="1"/>
  <c r="AO152" i="1"/>
  <c r="AO153" i="1"/>
  <c r="AO154" i="1"/>
  <c r="AO155" i="1"/>
  <c r="AO156" i="1"/>
  <c r="AO157" i="1"/>
  <c r="AO158" i="1"/>
  <c r="AO159" i="1"/>
  <c r="AO160" i="1"/>
  <c r="AO161" i="1"/>
  <c r="AO162" i="1"/>
  <c r="AO163" i="1"/>
  <c r="AO164" i="1"/>
  <c r="AO165" i="1"/>
  <c r="AO166" i="1"/>
  <c r="AO167" i="1"/>
  <c r="AO168" i="1"/>
  <c r="AO169" i="1"/>
  <c r="AO170" i="1"/>
  <c r="AO171" i="1"/>
  <c r="AO172" i="1"/>
  <c r="AO173" i="1"/>
  <c r="AO174" i="1"/>
  <c r="AO175" i="1"/>
  <c r="AO176" i="1"/>
  <c r="AO177" i="1"/>
  <c r="AO178" i="1"/>
  <c r="AO179" i="1"/>
  <c r="AO180" i="1"/>
  <c r="AO181" i="1"/>
  <c r="AO182" i="1"/>
  <c r="AO183" i="1"/>
  <c r="AO184" i="1"/>
  <c r="AO185" i="1"/>
  <c r="AO186" i="1"/>
  <c r="AO187" i="1"/>
  <c r="AO188" i="1"/>
  <c r="AO189" i="1"/>
  <c r="AO190" i="1"/>
  <c r="AO191" i="1"/>
  <c r="AO192" i="1"/>
  <c r="AO193" i="1"/>
  <c r="AO194" i="1"/>
  <c r="AO195" i="1"/>
  <c r="AO196" i="1"/>
  <c r="AO197" i="1"/>
  <c r="AO198" i="1"/>
  <c r="AO199" i="1"/>
  <c r="AO200" i="1"/>
  <c r="AO201" i="1"/>
  <c r="AO202" i="1"/>
  <c r="AO203" i="1"/>
  <c r="AO204" i="1"/>
  <c r="AO205" i="1"/>
  <c r="AO206" i="1"/>
  <c r="AO207" i="1"/>
  <c r="AO208" i="1"/>
  <c r="AO209" i="1"/>
  <c r="AO210" i="1"/>
  <c r="AO211" i="1"/>
  <c r="AO212" i="1"/>
  <c r="AO213" i="1"/>
  <c r="AO214" i="1"/>
  <c r="AO215" i="1"/>
  <c r="AO216" i="1"/>
  <c r="AO217" i="1"/>
  <c r="AO218" i="1"/>
  <c r="AO219" i="1"/>
  <c r="AO220" i="1"/>
  <c r="AO221" i="1"/>
  <c r="AO222" i="1"/>
  <c r="AO223" i="1"/>
  <c r="AO224" i="1"/>
  <c r="AO225" i="1"/>
  <c r="AO226" i="1"/>
  <c r="AO227" i="1"/>
  <c r="AO228" i="1"/>
  <c r="AO229" i="1"/>
  <c r="AO230" i="1"/>
  <c r="AO231" i="1"/>
  <c r="AO232" i="1"/>
  <c r="AO233" i="1"/>
  <c r="AO234" i="1"/>
  <c r="AO235" i="1"/>
  <c r="AO236" i="1"/>
  <c r="AO237" i="1"/>
  <c r="AO238" i="1"/>
  <c r="AO239" i="1"/>
  <c r="AO240" i="1"/>
  <c r="AO241" i="1"/>
  <c r="AO242" i="1"/>
  <c r="AO243" i="1"/>
  <c r="AO244" i="1"/>
  <c r="AO245" i="1"/>
  <c r="AO246" i="1"/>
  <c r="AO247" i="1"/>
  <c r="AO248" i="1"/>
  <c r="AO249" i="1"/>
  <c r="AO250" i="1"/>
  <c r="AO251" i="1"/>
  <c r="AO252" i="1"/>
  <c r="AO253" i="1"/>
  <c r="AO254" i="1"/>
  <c r="AO255" i="1"/>
  <c r="AO256" i="1"/>
  <c r="AO257" i="1"/>
  <c r="AO258" i="1"/>
  <c r="AO259" i="1"/>
  <c r="AO260" i="1"/>
  <c r="AO261" i="1"/>
  <c r="AO262" i="1"/>
  <c r="AO263" i="1"/>
  <c r="AO264" i="1"/>
  <c r="AO265" i="1"/>
  <c r="AO266" i="1"/>
  <c r="AO267" i="1"/>
  <c r="AO268" i="1"/>
  <c r="AO269" i="1"/>
  <c r="AO270" i="1"/>
  <c r="AO271" i="1"/>
  <c r="AO272" i="1"/>
  <c r="AO273" i="1"/>
  <c r="AO274" i="1"/>
  <c r="AO275" i="1"/>
  <c r="AO276" i="1"/>
  <c r="AO277" i="1"/>
  <c r="AO278" i="1"/>
  <c r="AO279" i="1"/>
  <c r="AO280" i="1"/>
  <c r="AO281" i="1"/>
  <c r="AO282" i="1"/>
  <c r="AO283" i="1"/>
  <c r="AO284" i="1"/>
  <c r="AO285" i="1"/>
  <c r="AO286" i="1"/>
  <c r="AO287" i="1"/>
  <c r="AO288" i="1"/>
  <c r="AO289" i="1"/>
  <c r="AO290" i="1"/>
  <c r="AO291" i="1"/>
  <c r="AO292" i="1"/>
  <c r="AO293" i="1"/>
  <c r="AO294" i="1"/>
  <c r="AO295" i="1"/>
  <c r="AO296" i="1"/>
  <c r="AO297" i="1"/>
  <c r="AO298" i="1"/>
  <c r="AO299" i="1"/>
  <c r="AO300" i="1"/>
  <c r="AO301" i="1"/>
  <c r="AO302" i="1"/>
  <c r="AO303" i="1"/>
  <c r="AO304" i="1"/>
  <c r="AO305" i="1"/>
  <c r="AO306" i="1"/>
  <c r="AO307" i="1"/>
  <c r="AO308" i="1"/>
  <c r="AO309" i="1"/>
  <c r="AO310" i="1"/>
  <c r="AO311" i="1"/>
  <c r="AO312" i="1"/>
  <c r="AO313" i="1"/>
  <c r="AO314" i="1"/>
  <c r="AO315" i="1"/>
  <c r="AO316" i="1"/>
  <c r="AO317" i="1"/>
  <c r="AO318" i="1"/>
  <c r="AO319" i="1"/>
  <c r="AO320" i="1"/>
  <c r="AO321" i="1"/>
  <c r="AO322" i="1"/>
  <c r="AO323" i="1"/>
  <c r="AO324" i="1"/>
  <c r="AO325" i="1"/>
  <c r="AO326" i="1"/>
  <c r="AO327" i="1"/>
  <c r="AO328" i="1"/>
  <c r="AO329" i="1"/>
  <c r="AO330" i="1"/>
  <c r="AO331" i="1"/>
  <c r="AO332" i="1"/>
  <c r="AO333" i="1"/>
  <c r="AO334" i="1"/>
  <c r="AO335" i="1"/>
  <c r="AO336" i="1"/>
  <c r="AO337" i="1"/>
  <c r="AO338" i="1"/>
  <c r="AO339" i="1"/>
  <c r="AO340" i="1"/>
  <c r="AO341" i="1"/>
  <c r="AO342" i="1"/>
  <c r="AO343" i="1"/>
  <c r="AO344" i="1"/>
  <c r="AO345" i="1"/>
  <c r="AO346" i="1"/>
  <c r="AO347" i="1"/>
  <c r="AO348" i="1"/>
  <c r="AO349" i="1"/>
  <c r="AO350" i="1"/>
  <c r="AO351" i="1"/>
  <c r="AO352" i="1"/>
  <c r="AO353" i="1"/>
  <c r="AO354" i="1"/>
  <c r="AO355" i="1"/>
  <c r="AO356" i="1"/>
  <c r="AO357" i="1"/>
  <c r="AO358" i="1"/>
  <c r="AO359" i="1"/>
  <c r="AO360" i="1"/>
  <c r="AO361" i="1"/>
  <c r="AO362" i="1"/>
  <c r="AO363" i="1"/>
  <c r="AO364" i="1"/>
  <c r="AO365" i="1"/>
  <c r="AO366" i="1"/>
  <c r="AO367" i="1"/>
  <c r="AO368" i="1"/>
  <c r="AO369" i="1"/>
  <c r="AO370" i="1"/>
  <c r="AO371" i="1"/>
  <c r="AO372" i="1"/>
  <c r="AO373" i="1"/>
  <c r="AO374" i="1"/>
  <c r="AO375" i="1"/>
  <c r="AO376" i="1"/>
  <c r="AO377" i="1"/>
  <c r="AO378" i="1"/>
  <c r="AO379" i="1"/>
  <c r="AO380" i="1"/>
  <c r="AO381" i="1"/>
  <c r="AO382" i="1"/>
  <c r="AO383" i="1"/>
  <c r="AO384" i="1"/>
  <c r="AO385" i="1"/>
  <c r="AO386" i="1"/>
  <c r="AO387" i="1"/>
  <c r="AO388" i="1"/>
  <c r="AO389" i="1"/>
  <c r="AO390" i="1"/>
  <c r="AO391" i="1"/>
  <c r="AO392" i="1"/>
  <c r="AO393" i="1"/>
  <c r="AO394" i="1"/>
  <c r="AO395" i="1"/>
  <c r="AO396" i="1"/>
  <c r="AO397" i="1"/>
  <c r="AO398" i="1"/>
  <c r="AO399" i="1"/>
  <c r="AO400" i="1"/>
  <c r="AO401" i="1"/>
  <c r="AO402" i="1"/>
  <c r="AO403" i="1"/>
  <c r="AO404" i="1"/>
  <c r="AO405" i="1"/>
  <c r="AO406" i="1"/>
  <c r="AO407" i="1"/>
  <c r="AO408" i="1"/>
  <c r="AO409" i="1"/>
  <c r="AO410" i="1"/>
  <c r="AO411" i="1"/>
  <c r="AO412" i="1"/>
  <c r="AO413" i="1"/>
  <c r="AO414" i="1"/>
  <c r="AO415" i="1"/>
  <c r="AO416" i="1"/>
  <c r="AO417" i="1"/>
  <c r="AO418" i="1"/>
  <c r="AO419" i="1"/>
  <c r="AO420" i="1"/>
  <c r="AO421" i="1"/>
  <c r="AO422" i="1"/>
  <c r="AO423" i="1"/>
  <c r="AO424" i="1"/>
  <c r="AO425" i="1"/>
  <c r="AO426" i="1"/>
  <c r="AO427" i="1"/>
  <c r="AO428" i="1"/>
  <c r="AO429" i="1"/>
  <c r="AO439" i="1"/>
  <c r="AO440" i="1"/>
  <c r="AO441" i="1"/>
  <c r="AO442" i="1"/>
  <c r="AO443" i="1"/>
  <c r="AO444" i="1"/>
  <c r="AO445" i="1"/>
  <c r="AO446" i="1"/>
  <c r="AO447" i="1"/>
  <c r="AO448" i="1"/>
  <c r="AO449" i="1"/>
  <c r="AO450" i="1"/>
  <c r="AO451" i="1"/>
  <c r="AO452" i="1"/>
  <c r="AO453" i="1"/>
  <c r="AO454" i="1"/>
  <c r="AO455" i="1"/>
  <c r="AO456" i="1"/>
  <c r="AO457" i="1"/>
  <c r="AO458" i="1"/>
  <c r="AO459" i="1"/>
  <c r="AO460" i="1"/>
  <c r="AO461" i="1"/>
  <c r="AO462" i="1"/>
  <c r="AO8" i="1"/>
  <c r="AO9" i="1"/>
  <c r="AO10" i="1"/>
  <c r="AO7" i="1"/>
  <c r="G5" i="20"/>
  <c r="C17" i="20"/>
  <c r="G9" i="20"/>
  <c r="H7" i="20"/>
  <c r="H5" i="20"/>
  <c r="H8" i="20"/>
  <c r="G6" i="20"/>
  <c r="G8" i="20"/>
  <c r="H9" i="20"/>
  <c r="C19" i="20"/>
  <c r="H6" i="20"/>
  <c r="C18" i="20"/>
  <c r="C16" i="20"/>
  <c r="G7" i="20"/>
  <c r="C15" i="20"/>
  <c r="I7" i="20" l="1"/>
  <c r="I8" i="20"/>
  <c r="I5" i="20"/>
  <c r="I6" i="20"/>
  <c r="B483" i="1"/>
  <c r="BT483" i="1"/>
  <c r="CE483" i="1"/>
  <c r="B492" i="1" l="1"/>
  <c r="B493" i="1"/>
  <c r="B494" i="1"/>
  <c r="B495" i="1"/>
  <c r="BT492" i="1"/>
  <c r="BT493" i="1"/>
  <c r="BT494" i="1"/>
  <c r="BT495" i="1"/>
  <c r="CE492" i="1"/>
  <c r="CE493" i="1"/>
  <c r="CE494" i="1"/>
  <c r="CE495" i="1"/>
  <c r="BT490" i="1"/>
  <c r="CE490" i="1"/>
  <c r="B491" i="1"/>
  <c r="BT491" i="1"/>
  <c r="CE491" i="1"/>
  <c r="B485" i="1"/>
  <c r="B486" i="1"/>
  <c r="B487" i="1"/>
  <c r="BT485" i="1"/>
  <c r="BT486" i="1"/>
  <c r="BT487" i="1"/>
  <c r="CE485" i="1"/>
  <c r="CE486" i="1"/>
  <c r="CE487" i="1"/>
  <c r="B488" i="1"/>
  <c r="B489" i="1"/>
  <c r="B496" i="1"/>
  <c r="BT488" i="1"/>
  <c r="BT489" i="1"/>
  <c r="BT496" i="1"/>
  <c r="CE488" i="1"/>
  <c r="CE489" i="1"/>
  <c r="CE496" i="1"/>
  <c r="BT497" i="1"/>
  <c r="CE497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4" i="1"/>
  <c r="BT463" i="1" l="1"/>
  <c r="BT464" i="1"/>
  <c r="BT465" i="1"/>
  <c r="BT466" i="1"/>
  <c r="BT467" i="1"/>
  <c r="BT468" i="1"/>
  <c r="BT469" i="1"/>
  <c r="BT470" i="1"/>
  <c r="CE463" i="1"/>
  <c r="CE464" i="1"/>
  <c r="CE465" i="1"/>
  <c r="CE466" i="1"/>
  <c r="CE467" i="1"/>
  <c r="CE468" i="1"/>
  <c r="CE469" i="1"/>
  <c r="CE470" i="1"/>
  <c r="BT471" i="1"/>
  <c r="BT472" i="1"/>
  <c r="BT473" i="1"/>
  <c r="CE471" i="1"/>
  <c r="CE472" i="1"/>
  <c r="CE473" i="1"/>
  <c r="BT474" i="1"/>
  <c r="BT475" i="1"/>
  <c r="BT476" i="1"/>
  <c r="CE474" i="1"/>
  <c r="CE475" i="1"/>
  <c r="CE476" i="1"/>
  <c r="BT477" i="1"/>
  <c r="BT478" i="1"/>
  <c r="BT479" i="1"/>
  <c r="CE477" i="1"/>
  <c r="CE478" i="1"/>
  <c r="CE479" i="1"/>
  <c r="BT480" i="1"/>
  <c r="BT481" i="1"/>
  <c r="BT482" i="1"/>
  <c r="CE480" i="1"/>
  <c r="CE481" i="1"/>
  <c r="CE482" i="1"/>
  <c r="BT484" i="1"/>
  <c r="CE484" i="1"/>
  <c r="AJ7" i="27" l="1"/>
  <c r="AK7" i="27" s="1"/>
  <c r="BH7" i="27" s="1"/>
  <c r="BL7" i="27" s="1"/>
  <c r="BR7" i="27" s="1"/>
  <c r="AJ8" i="27"/>
  <c r="AK8" i="27" s="1"/>
  <c r="AO8" i="27" s="1"/>
  <c r="AS9" i="27"/>
  <c r="AT9" i="27"/>
  <c r="AU9" i="27"/>
  <c r="AV9" i="27"/>
  <c r="AW9" i="27"/>
  <c r="AX9" i="27"/>
  <c r="AY9" i="27"/>
  <c r="AZ9" i="27"/>
  <c r="BA9" i="27"/>
  <c r="BB9" i="27"/>
  <c r="BC9" i="27"/>
  <c r="BD9" i="27"/>
  <c r="BM9" i="27"/>
  <c r="BN9" i="27"/>
  <c r="BO9" i="27"/>
  <c r="BP9" i="27"/>
  <c r="BQ9" i="27"/>
  <c r="BH8" i="27" l="1"/>
  <c r="BL8" i="27" s="1"/>
  <c r="BR8" i="27" s="1"/>
  <c r="AO7" i="27"/>
  <c r="BH4" i="27"/>
  <c r="BH5" i="27"/>
  <c r="BH3" i="27"/>
  <c r="AO3" i="27"/>
  <c r="AO4" i="27"/>
  <c r="AO5" i="27"/>
  <c r="AO6" i="27"/>
  <c r="BH6" i="27"/>
  <c r="E15" i="20"/>
  <c r="I27" i="22"/>
  <c r="C5" i="20"/>
  <c r="H19" i="20"/>
  <c r="D8" i="20"/>
  <c r="E19" i="20"/>
  <c r="I31" i="22"/>
  <c r="I37" i="22"/>
  <c r="I35" i="22"/>
  <c r="E16" i="20"/>
  <c r="H18" i="20"/>
  <c r="C7" i="20"/>
  <c r="D15" i="20"/>
  <c r="D16" i="20"/>
  <c r="H16" i="20"/>
  <c r="C8" i="20"/>
  <c r="D19" i="20"/>
  <c r="I29" i="22"/>
  <c r="D5" i="20"/>
  <c r="I33" i="22"/>
  <c r="H17" i="20"/>
  <c r="H15" i="20"/>
  <c r="J16" i="20" l="1"/>
  <c r="J19" i="20"/>
  <c r="J17" i="20"/>
  <c r="I13" i="22"/>
  <c r="I11" i="22"/>
  <c r="I6" i="22" s="1"/>
  <c r="I12" i="22"/>
  <c r="I7" i="22" s="1"/>
  <c r="J15" i="20"/>
  <c r="I10" i="22"/>
  <c r="I5" i="22" s="1"/>
  <c r="I14" i="22"/>
  <c r="I9" i="22" s="1"/>
  <c r="BT416" i="1"/>
  <c r="CE416" i="1"/>
  <c r="BT417" i="1"/>
  <c r="CE417" i="1"/>
  <c r="BT418" i="1"/>
  <c r="CE418" i="1"/>
  <c r="BT419" i="1"/>
  <c r="CE419" i="1"/>
  <c r="BT420" i="1"/>
  <c r="CE420" i="1"/>
  <c r="BT421" i="1"/>
  <c r="CE421" i="1"/>
  <c r="BT422" i="1"/>
  <c r="CE422" i="1"/>
  <c r="BT423" i="1"/>
  <c r="CE423" i="1"/>
  <c r="BT424" i="1"/>
  <c r="CE424" i="1"/>
  <c r="BT425" i="1"/>
  <c r="CE425" i="1"/>
  <c r="BT426" i="1"/>
  <c r="CE426" i="1"/>
  <c r="BT427" i="1"/>
  <c r="CE427" i="1"/>
  <c r="BT428" i="1"/>
  <c r="CE428" i="1"/>
  <c r="BT429" i="1"/>
  <c r="CE429" i="1"/>
  <c r="BT439" i="1"/>
  <c r="CE439" i="1"/>
  <c r="BT440" i="1"/>
  <c r="CE440" i="1"/>
  <c r="BT441" i="1"/>
  <c r="CE441" i="1"/>
  <c r="BT442" i="1"/>
  <c r="CE442" i="1"/>
  <c r="BT443" i="1"/>
  <c r="CE443" i="1"/>
  <c r="BT444" i="1"/>
  <c r="CE444" i="1"/>
  <c r="BT445" i="1"/>
  <c r="CE445" i="1"/>
  <c r="BT446" i="1"/>
  <c r="CE446" i="1"/>
  <c r="BT447" i="1"/>
  <c r="CE447" i="1"/>
  <c r="BT448" i="1"/>
  <c r="CE448" i="1"/>
  <c r="BT449" i="1"/>
  <c r="CE449" i="1"/>
  <c r="BT450" i="1"/>
  <c r="CE450" i="1"/>
  <c r="BT451" i="1"/>
  <c r="CE451" i="1"/>
  <c r="BT452" i="1"/>
  <c r="CE452" i="1"/>
  <c r="BT453" i="1"/>
  <c r="CE453" i="1"/>
  <c r="BT454" i="1"/>
  <c r="CE454" i="1"/>
  <c r="BT455" i="1"/>
  <c r="CE455" i="1"/>
  <c r="BT456" i="1"/>
  <c r="CE456" i="1"/>
  <c r="BT457" i="1"/>
  <c r="CE457" i="1"/>
  <c r="BT458" i="1"/>
  <c r="CE458" i="1"/>
  <c r="BT459" i="1"/>
  <c r="CE459" i="1"/>
  <c r="BT460" i="1"/>
  <c r="CE460" i="1"/>
  <c r="BT461" i="1"/>
  <c r="CE461" i="1"/>
  <c r="BT462" i="1"/>
  <c r="CE462" i="1"/>
  <c r="BT396" i="1"/>
  <c r="BT397" i="1"/>
  <c r="BT398" i="1"/>
  <c r="BT399" i="1"/>
  <c r="BT400" i="1"/>
  <c r="BT401" i="1"/>
  <c r="BT402" i="1"/>
  <c r="BT403" i="1"/>
  <c r="BT404" i="1"/>
  <c r="BT405" i="1"/>
  <c r="BT406" i="1"/>
  <c r="BT407" i="1"/>
  <c r="BT408" i="1"/>
  <c r="BT409" i="1"/>
  <c r="BT410" i="1"/>
  <c r="BT411" i="1"/>
  <c r="BT412" i="1"/>
  <c r="BT413" i="1"/>
  <c r="BT414" i="1"/>
  <c r="BT415" i="1"/>
  <c r="CE396" i="1"/>
  <c r="CE397" i="1"/>
  <c r="CE398" i="1"/>
  <c r="CE399" i="1"/>
  <c r="CE400" i="1"/>
  <c r="CE401" i="1"/>
  <c r="CE402" i="1"/>
  <c r="CE403" i="1"/>
  <c r="CE404" i="1"/>
  <c r="CE405" i="1"/>
  <c r="CE406" i="1"/>
  <c r="CE407" i="1"/>
  <c r="CE408" i="1"/>
  <c r="CE409" i="1"/>
  <c r="CE410" i="1"/>
  <c r="CE411" i="1"/>
  <c r="CE412" i="1"/>
  <c r="CE413" i="1"/>
  <c r="CE414" i="1"/>
  <c r="CE415" i="1"/>
  <c r="BL6" i="27"/>
  <c r="BR6" i="27" s="1"/>
  <c r="BH9" i="27"/>
  <c r="CE394" i="1"/>
  <c r="BL5" i="27" l="1"/>
  <c r="BR5" i="27" s="1"/>
  <c r="BL4" i="27"/>
  <c r="BR4" i="27" s="1"/>
  <c r="BL3" i="27" l="1"/>
  <c r="BL9" i="27" s="1"/>
  <c r="BT394" i="1"/>
  <c r="BR3" i="27" l="1"/>
  <c r="BR9" i="27" s="1"/>
  <c r="BT385" i="1" l="1"/>
  <c r="CE385" i="1"/>
  <c r="BT386" i="1"/>
  <c r="CE386" i="1"/>
  <c r="BT387" i="1"/>
  <c r="CE387" i="1"/>
  <c r="BT388" i="1"/>
  <c r="CE388" i="1"/>
  <c r="BT389" i="1"/>
  <c r="CE389" i="1"/>
  <c r="BT390" i="1"/>
  <c r="CE390" i="1"/>
  <c r="BT391" i="1"/>
  <c r="CE391" i="1"/>
  <c r="BT392" i="1"/>
  <c r="CE392" i="1"/>
  <c r="BT393" i="1"/>
  <c r="CE393" i="1"/>
  <c r="BT395" i="1"/>
  <c r="CE395" i="1"/>
  <c r="BT384" i="1"/>
  <c r="CE384" i="1"/>
  <c r="E20" i="20" l="1"/>
  <c r="E8" i="20" l="1"/>
  <c r="E7" i="20"/>
  <c r="E6" i="20"/>
  <c r="E5" i="20"/>
  <c r="BM56" i="24" l="1"/>
  <c r="AI56" i="24"/>
  <c r="AQ55" i="24"/>
  <c r="BM54" i="24"/>
  <c r="AI54" i="24"/>
  <c r="BM53" i="24"/>
  <c r="AI53" i="24"/>
  <c r="BM52" i="24"/>
  <c r="AI52" i="24"/>
  <c r="BM51" i="24"/>
  <c r="AI51" i="24"/>
  <c r="BM50" i="24"/>
  <c r="AI50" i="24"/>
  <c r="BM49" i="24"/>
  <c r="AI49" i="24"/>
  <c r="BM48" i="24"/>
  <c r="AI48" i="24"/>
  <c r="BM47" i="24"/>
  <c r="AI47" i="24"/>
  <c r="BM46" i="24"/>
  <c r="AI46" i="24"/>
  <c r="BM45" i="24"/>
  <c r="AI45" i="24"/>
  <c r="BM44" i="24"/>
  <c r="AI44" i="24"/>
  <c r="BM43" i="24"/>
  <c r="AI43" i="24"/>
  <c r="BM42" i="24"/>
  <c r="AI42" i="24"/>
  <c r="BM41" i="24"/>
  <c r="AI41" i="24"/>
  <c r="BM40" i="24"/>
  <c r="AI40" i="24"/>
  <c r="BM39" i="24"/>
  <c r="AI39" i="24"/>
  <c r="BM38" i="24"/>
  <c r="AI38" i="24"/>
  <c r="BM37" i="24"/>
  <c r="AI37" i="24"/>
  <c r="BM36" i="24"/>
  <c r="AI36" i="24"/>
  <c r="BM35" i="24"/>
  <c r="AI35" i="24"/>
  <c r="BM34" i="24"/>
  <c r="AI34" i="24"/>
  <c r="BM33" i="24"/>
  <c r="AI33" i="24"/>
  <c r="BM32" i="24"/>
  <c r="AI32" i="24"/>
  <c r="BM31" i="24"/>
  <c r="AI31" i="24"/>
  <c r="BM30" i="24"/>
  <c r="AI30" i="24"/>
  <c r="BM29" i="24"/>
  <c r="AI29" i="24"/>
  <c r="BM28" i="24"/>
  <c r="AI28" i="24"/>
  <c r="BM27" i="24"/>
  <c r="AI27" i="24"/>
  <c r="BM26" i="24"/>
  <c r="AI26" i="24"/>
  <c r="BM25" i="24"/>
  <c r="AI25" i="24"/>
  <c r="BM24" i="24"/>
  <c r="AI24" i="24"/>
  <c r="BM23" i="24"/>
  <c r="AI23" i="24"/>
  <c r="BM22" i="24"/>
  <c r="AI22" i="24"/>
  <c r="BM21" i="24"/>
  <c r="AI21" i="24"/>
  <c r="BM20" i="24"/>
  <c r="AI20" i="24"/>
  <c r="BM19" i="24"/>
  <c r="AI19" i="24"/>
  <c r="BM18" i="24"/>
  <c r="AI18" i="24"/>
  <c r="BM17" i="24"/>
  <c r="AI17" i="24"/>
  <c r="BM16" i="24"/>
  <c r="AI16" i="24"/>
  <c r="BM15" i="24"/>
  <c r="AI15" i="24"/>
  <c r="BM14" i="24"/>
  <c r="AI14" i="24"/>
  <c r="BM13" i="24"/>
  <c r="AI13" i="24"/>
  <c r="BM12" i="24"/>
  <c r="AI12" i="24"/>
  <c r="BM11" i="24"/>
  <c r="AI11" i="24"/>
  <c r="BM10" i="24"/>
  <c r="AI10" i="24"/>
  <c r="BM9" i="24"/>
  <c r="AI9" i="24"/>
  <c r="BM8" i="24"/>
  <c r="AI8" i="24"/>
  <c r="BM7" i="24"/>
  <c r="AI7" i="24"/>
  <c r="BN6" i="24"/>
  <c r="BM6" i="24"/>
  <c r="BL6" i="24"/>
  <c r="BK6" i="24"/>
  <c r="BE6" i="24"/>
  <c r="AJ6" i="24"/>
  <c r="AI6" i="24"/>
  <c r="BN5" i="24"/>
  <c r="BM5" i="24"/>
  <c r="BL5" i="24"/>
  <c r="BK5" i="24"/>
  <c r="BE5" i="24"/>
  <c r="AJ5" i="24"/>
  <c r="AI5" i="24"/>
  <c r="BN4" i="24"/>
  <c r="BM4" i="24"/>
  <c r="BL4" i="24"/>
  <c r="BK4" i="24"/>
  <c r="BE4" i="24"/>
  <c r="AJ4" i="24"/>
  <c r="AI4" i="24"/>
  <c r="BN3" i="24"/>
  <c r="BM3" i="24"/>
  <c r="BL3" i="24"/>
  <c r="BK3" i="24"/>
  <c r="BE3" i="24"/>
  <c r="AJ3" i="24"/>
  <c r="AI3" i="24"/>
  <c r="BN2" i="24"/>
  <c r="BM2" i="24"/>
  <c r="BL2" i="24"/>
  <c r="BK2" i="24"/>
  <c r="BE2" i="24"/>
  <c r="AJ2" i="24"/>
  <c r="AI2" i="24"/>
  <c r="BN1" i="24"/>
  <c r="BM1" i="24"/>
  <c r="BL1" i="24"/>
  <c r="BK1" i="24"/>
  <c r="BE1" i="24"/>
  <c r="AJ1" i="24"/>
  <c r="AI1" i="24"/>
  <c r="A2" i="16"/>
  <c r="C39" i="20"/>
  <c r="G31" i="21"/>
  <c r="F31" i="21"/>
  <c r="E31" i="21"/>
  <c r="F20" i="21"/>
  <c r="E20" i="21"/>
  <c r="G19" i="21"/>
  <c r="G20" i="21" s="1"/>
  <c r="G35" i="21" l="1"/>
  <c r="G36" i="21" s="1"/>
  <c r="E35" i="21"/>
  <c r="E36" i="21" s="1"/>
  <c r="F35" i="21"/>
  <c r="F36" i="21" s="1"/>
  <c r="D39" i="20"/>
  <c r="C20" i="20"/>
  <c r="C10" i="20"/>
  <c r="D20" i="20"/>
  <c r="K16" i="20"/>
  <c r="J18" i="20"/>
  <c r="K18" i="20" s="1"/>
  <c r="G10" i="20"/>
  <c r="H10" i="20"/>
  <c r="K19" i="20"/>
  <c r="K17" i="20" l="1"/>
  <c r="E39" i="20"/>
  <c r="I10" i="20"/>
  <c r="I11" i="20" s="1"/>
  <c r="BL54" i="24" l="1"/>
  <c r="BE54" i="24"/>
  <c r="BL21" i="24"/>
  <c r="BE21" i="24"/>
  <c r="AJ54" i="24"/>
  <c r="AJ21" i="24"/>
  <c r="BL23" i="24"/>
  <c r="BE23" i="24"/>
  <c r="AJ23" i="24"/>
  <c r="BE41" i="24"/>
  <c r="BL41" i="24"/>
  <c r="AJ41" i="24"/>
  <c r="BL27" i="24"/>
  <c r="BE27" i="24"/>
  <c r="AJ27" i="24"/>
  <c r="BL13" i="24" l="1"/>
  <c r="BE13" i="24"/>
  <c r="BE10" i="24"/>
  <c r="BL10" i="24"/>
  <c r="BL24" i="24"/>
  <c r="BE24" i="24"/>
  <c r="BL15" i="24"/>
  <c r="BE15" i="24"/>
  <c r="BL11" i="24"/>
  <c r="BE11" i="24"/>
  <c r="AJ13" i="24"/>
  <c r="AJ10" i="24"/>
  <c r="AJ24" i="24"/>
  <c r="AJ15" i="24"/>
  <c r="AJ11" i="24"/>
  <c r="BE50" i="24"/>
  <c r="BL50" i="24"/>
  <c r="BL7" i="24"/>
  <c r="BE7" i="24"/>
  <c r="AJ50" i="24"/>
  <c r="AJ7" i="24"/>
  <c r="BL48" i="24"/>
  <c r="BE48" i="24"/>
  <c r="BE49" i="24"/>
  <c r="BL49" i="24"/>
  <c r="AJ48" i="24"/>
  <c r="AJ49" i="24"/>
  <c r="AJ28" i="24" l="1"/>
  <c r="AJ44" i="24"/>
  <c r="AJ38" i="24"/>
  <c r="AJ36" i="24"/>
  <c r="BL37" i="24"/>
  <c r="BE37" i="24"/>
  <c r="BL52" i="24"/>
  <c r="BE52" i="24"/>
  <c r="BL43" i="24"/>
  <c r="BE43" i="24"/>
  <c r="AJ30" i="24"/>
  <c r="BL51" i="24"/>
  <c r="BE51" i="24"/>
  <c r="BE42" i="24"/>
  <c r="BL42" i="24"/>
  <c r="AJ37" i="24"/>
  <c r="AJ52" i="24"/>
  <c r="AJ43" i="24"/>
  <c r="BL40" i="24"/>
  <c r="BE40" i="24"/>
  <c r="AJ51" i="24"/>
  <c r="AJ42" i="24"/>
  <c r="AJ40" i="24"/>
  <c r="BE34" i="24"/>
  <c r="BL34" i="24"/>
  <c r="BE25" i="24"/>
  <c r="BL25" i="24"/>
  <c r="BL19" i="24"/>
  <c r="BE19" i="24"/>
  <c r="BL14" i="24"/>
  <c r="BE14" i="24"/>
  <c r="BL22" i="24"/>
  <c r="BE22" i="24"/>
  <c r="BL20" i="24"/>
  <c r="BE20" i="24"/>
  <c r="BL32" i="24"/>
  <c r="BE32" i="24"/>
  <c r="BL45" i="24"/>
  <c r="BE45" i="24"/>
  <c r="AJ34" i="24"/>
  <c r="AJ25" i="24"/>
  <c r="AJ19" i="24"/>
  <c r="AJ14" i="24"/>
  <c r="BL56" i="24"/>
  <c r="BE56" i="24"/>
  <c r="BL35" i="24"/>
  <c r="BE35" i="24"/>
  <c r="AJ22" i="24"/>
  <c r="AJ20" i="24"/>
  <c r="AJ32" i="24"/>
  <c r="AJ45" i="24"/>
  <c r="BE26" i="24"/>
  <c r="BL26" i="24"/>
  <c r="BL47" i="24"/>
  <c r="BE47" i="24"/>
  <c r="BL53" i="24"/>
  <c r="BE53" i="24"/>
  <c r="BL12" i="24"/>
  <c r="BE12" i="24"/>
  <c r="BL31" i="24"/>
  <c r="BE31" i="24"/>
  <c r="BE33" i="24"/>
  <c r="BL33" i="24"/>
  <c r="AJ56" i="24"/>
  <c r="AJ35" i="24"/>
  <c r="BL39" i="24"/>
  <c r="BE39" i="24"/>
  <c r="BL46" i="24"/>
  <c r="BE46" i="24"/>
  <c r="AJ26" i="24"/>
  <c r="AJ47" i="24"/>
  <c r="AJ53" i="24"/>
  <c r="AJ12" i="24"/>
  <c r="AJ31" i="24"/>
  <c r="AJ33" i="24"/>
  <c r="BE9" i="24"/>
  <c r="BL9" i="24"/>
  <c r="BE17" i="24"/>
  <c r="BL17" i="24"/>
  <c r="BE18" i="24"/>
  <c r="BL18" i="24"/>
  <c r="AJ39" i="24"/>
  <c r="AJ46" i="24"/>
  <c r="BL29" i="24"/>
  <c r="BE29" i="24"/>
  <c r="BL16" i="24"/>
  <c r="BE16" i="24"/>
  <c r="BL8" i="24"/>
  <c r="BE8" i="24"/>
  <c r="BL28" i="24"/>
  <c r="BE28" i="24"/>
  <c r="BL44" i="24"/>
  <c r="BE44" i="24"/>
  <c r="BL38" i="24"/>
  <c r="BE38" i="24"/>
  <c r="BL36" i="24"/>
  <c r="BE36" i="24"/>
  <c r="AJ9" i="24"/>
  <c r="AJ17" i="24"/>
  <c r="AJ18" i="24"/>
  <c r="BL30" i="24"/>
  <c r="BE30" i="24"/>
  <c r="AJ29" i="24"/>
  <c r="AJ16" i="24"/>
  <c r="AJ8" i="24"/>
  <c r="D10" i="20" l="1"/>
  <c r="E10" i="20" l="1"/>
  <c r="J20" i="20"/>
  <c r="H20" i="20"/>
  <c r="E11" i="20" l="1"/>
  <c r="K15" i="20"/>
  <c r="BK38" i="24"/>
  <c r="BK45" i="24"/>
  <c r="BK29" i="24"/>
  <c r="BN20" i="24"/>
  <c r="BK46" i="24"/>
  <c r="BN14" i="24"/>
  <c r="BN37" i="24"/>
  <c r="BK22" i="24"/>
  <c r="BK13" i="24"/>
  <c r="BN36" i="24"/>
  <c r="BK43" i="24"/>
  <c r="BK19" i="24"/>
  <c r="BN52" i="24"/>
  <c r="BN26" i="24"/>
  <c r="BN48" i="24"/>
  <c r="BK9" i="24"/>
  <c r="BK25" i="24"/>
  <c r="BK8" i="24"/>
  <c r="BK47" i="24"/>
  <c r="BN33" i="24"/>
  <c r="BN17" i="24"/>
  <c r="BN56" i="24"/>
  <c r="BK40" i="24"/>
  <c r="BK49" i="24"/>
  <c r="BK24" i="24"/>
  <c r="BK16" i="24"/>
  <c r="BK39" i="24"/>
  <c r="BK7" i="24"/>
  <c r="BK32" i="24"/>
  <c r="BK31" i="24"/>
  <c r="BN15" i="24"/>
  <c r="BN54" i="24" l="1"/>
  <c r="BN7" i="24"/>
  <c r="BN27" i="24"/>
  <c r="BN29" i="24"/>
  <c r="BN31" i="24"/>
  <c r="BK26" i="24"/>
  <c r="BK10" i="24"/>
  <c r="BK12" i="24"/>
  <c r="BN12" i="24"/>
  <c r="BK41" i="24"/>
  <c r="BN47" i="24"/>
  <c r="BN41" i="24"/>
  <c r="BK18" i="24"/>
  <c r="BK20" i="24"/>
  <c r="BK36" i="24"/>
  <c r="BN10" i="24"/>
  <c r="BN22" i="24"/>
  <c r="BN9" i="24"/>
  <c r="BK37" i="24"/>
  <c r="BK27" i="24"/>
  <c r="BK44" i="24"/>
  <c r="BK56" i="24"/>
  <c r="BK50" i="24"/>
  <c r="BN16" i="24"/>
  <c r="BN43" i="24"/>
  <c r="BN40" i="24"/>
  <c r="BK15" i="24"/>
  <c r="BN49" i="24"/>
  <c r="BK33" i="24"/>
  <c r="BK42" i="24"/>
  <c r="BK35" i="24"/>
  <c r="BN35" i="24"/>
  <c r="BN32" i="24"/>
  <c r="BN39" i="24"/>
  <c r="BK17" i="24"/>
  <c r="BN46" i="24"/>
  <c r="BN45" i="24"/>
  <c r="BN30" i="24"/>
  <c r="BN24" i="24"/>
  <c r="BN13" i="24"/>
  <c r="BN53" i="24"/>
  <c r="BK53" i="24"/>
  <c r="BN42" i="24"/>
  <c r="BN25" i="24"/>
  <c r="BN51" i="24"/>
  <c r="BK21" i="24"/>
  <c r="BN21" i="24"/>
  <c r="BK30" i="24"/>
  <c r="BN19" i="24"/>
  <c r="BN28" i="24"/>
  <c r="BN23" i="24"/>
  <c r="BK48" i="24"/>
  <c r="BN34" i="24"/>
  <c r="BK14" i="24"/>
  <c r="BK28" i="24"/>
  <c r="BK34" i="24"/>
  <c r="BN38" i="24"/>
  <c r="BN44" i="24"/>
  <c r="BN8" i="24"/>
  <c r="BK23" i="24"/>
  <c r="BN50" i="24"/>
  <c r="BK52" i="24"/>
  <c r="BN18" i="24"/>
  <c r="BK51" i="24"/>
  <c r="BK54" i="24"/>
  <c r="BN11" i="24" l="1"/>
  <c r="BK11" i="24"/>
  <c r="BS550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Sanda</author>
  </authors>
  <commentList>
    <comment ref="AS30" authorId="0" shapeId="0" xr:uid="{5E278D54-B145-448A-BD63-2F97DC60DE12}">
      <text>
        <r>
          <rPr>
            <b/>
            <sz val="9"/>
            <color indexed="81"/>
            <rFont val="Tahoma"/>
            <family val="2"/>
          </rPr>
          <t>Sanda:</t>
        </r>
        <r>
          <rPr>
            <sz val="9"/>
            <color indexed="81"/>
            <rFont val="Tahoma"/>
            <family val="2"/>
          </rPr>
          <t xml:space="preserve">
NHC Write off
</t>
        </r>
      </text>
    </comment>
  </commentList>
</comments>
</file>

<file path=xl/sharedStrings.xml><?xml version="1.0" encoding="utf-8"?>
<sst xmlns="http://schemas.openxmlformats.org/spreadsheetml/2006/main" count="38374" uniqueCount="1189">
  <si>
    <t>Province</t>
  </si>
  <si>
    <t>Property, plant &amp; equipment</t>
  </si>
  <si>
    <t>CLASSES</t>
  </si>
  <si>
    <t>Date</t>
  </si>
  <si>
    <t>Financial year</t>
  </si>
  <si>
    <t>FILE</t>
  </si>
  <si>
    <t>Code1</t>
  </si>
  <si>
    <t>Accounting Group (Level 1)</t>
  </si>
  <si>
    <t>Code2</t>
  </si>
  <si>
    <t>Code3</t>
  </si>
  <si>
    <t>Asset Facility Sub-name / Area</t>
  </si>
  <si>
    <t>Code6</t>
  </si>
  <si>
    <t>Asset Type (Level 5)</t>
  </si>
  <si>
    <t>Asset Component (Level 6)</t>
  </si>
  <si>
    <t>Descriptor
Selection</t>
  </si>
  <si>
    <t>Accounting model applied</t>
  </si>
  <si>
    <t>Ownership</t>
  </si>
  <si>
    <t>Function importance</t>
  </si>
  <si>
    <t>Sub class Item</t>
  </si>
  <si>
    <t>MSCOA Function Class</t>
  </si>
  <si>
    <t>SCOA Function Code</t>
  </si>
  <si>
    <t>Extent</t>
  </si>
  <si>
    <t>Leased?</t>
  </si>
  <si>
    <t>Movable asset?</t>
  </si>
  <si>
    <t>EUL</t>
  </si>
  <si>
    <t>Accounting Policy Change confirmation</t>
  </si>
  <si>
    <t>Valuation method</t>
  </si>
  <si>
    <t>Additions capitalised (@actual cost)</t>
  </si>
  <si>
    <t>Revaluation Adjustment Cost</t>
  </si>
  <si>
    <t>Derecognitions [-]</t>
  </si>
  <si>
    <t>Derecognition costs</t>
  </si>
  <si>
    <t>Revaluation Value</t>
  </si>
  <si>
    <t>Provision on rehabilitation cost</t>
  </si>
  <si>
    <t>Fairvalue adjustment</t>
  </si>
  <si>
    <t>Accumulated depreciation (Opening balance)</t>
  </si>
  <si>
    <t>Revaluation adjustment Opening Accumulative depreciation</t>
  </si>
  <si>
    <t>Change in Accounting Policy</t>
  </si>
  <si>
    <t>Error Comments</t>
  </si>
  <si>
    <t>Correction of RUL errors</t>
  </si>
  <si>
    <t>Depreciation YTD</t>
  </si>
  <si>
    <t>Change in useful life effect</t>
  </si>
  <si>
    <t>Depreciation Method</t>
  </si>
  <si>
    <t>Accumulated impairments (Opening balance)</t>
  </si>
  <si>
    <t>Revaluation adjustment: Opening Accumulative impairments</t>
  </si>
  <si>
    <t>Annual impairment</t>
  </si>
  <si>
    <t>Depreciation if no impairment took place - Depreciation</t>
  </si>
  <si>
    <t>Depreciation if no impairment took place - Accumulative total</t>
  </si>
  <si>
    <t>Method Acquired</t>
  </si>
  <si>
    <t>Funding type</t>
  </si>
  <si>
    <t>Asset Category (Level 2)</t>
  </si>
  <si>
    <t>Asset Sub Category (Level 3)</t>
  </si>
  <si>
    <t>Asset Group (Level 4)</t>
  </si>
  <si>
    <t>Code4</t>
  </si>
  <si>
    <t>Code5</t>
  </si>
  <si>
    <t>PPE</t>
  </si>
  <si>
    <t>Take-On Date [dd-mm-yy]</t>
  </si>
  <si>
    <t>Cost unit rate [@ recognition date]</t>
  </si>
  <si>
    <t>Cost Price (closing balance)</t>
  </si>
  <si>
    <t>Carrying value (opening balance)</t>
  </si>
  <si>
    <t>Cost Price (opening balance)</t>
  </si>
  <si>
    <t>Derecognitions (acc dep) [+]</t>
  </si>
  <si>
    <t>Accumulated depreciation (Closing balance)</t>
  </si>
  <si>
    <t>Derecognition Impairment balance [+]</t>
  </si>
  <si>
    <t>Accumulated impairments (Closing balance)</t>
  </si>
  <si>
    <t>Carrying value (closing balance)</t>
  </si>
  <si>
    <t>Section</t>
  </si>
  <si>
    <t>Assets</t>
  </si>
  <si>
    <t>Disposals</t>
  </si>
  <si>
    <t>Depreciation</t>
  </si>
  <si>
    <t>Transfers</t>
  </si>
  <si>
    <t>Other</t>
  </si>
  <si>
    <t>Additions</t>
  </si>
  <si>
    <t>Grand Total</t>
  </si>
  <si>
    <t>Asset Category</t>
  </si>
  <si>
    <t>Asset Sub Category</t>
  </si>
  <si>
    <t>Total</t>
  </si>
  <si>
    <t>Sum of Cost Price (opening balance)</t>
  </si>
  <si>
    <t>Sum of Additions capitalised (@actual cost)</t>
  </si>
  <si>
    <t>Sum of Derecognitions [-]</t>
  </si>
  <si>
    <t>Sum of Cost Price (closing balance)</t>
  </si>
  <si>
    <t>Sum of Carrying value (opening balance)</t>
  </si>
  <si>
    <t>Sum of Accumulated depreciation (Opening balance)</t>
  </si>
  <si>
    <t>Sum of Change in Accounting Policy</t>
  </si>
  <si>
    <t>Sum of Correction of RUL errors</t>
  </si>
  <si>
    <t>Sum of Depreciation YTD</t>
  </si>
  <si>
    <t>Sum of Derecognitions (acc dep) [+]</t>
  </si>
  <si>
    <t>Sum of Accumulated depreciation (Closing balance)</t>
  </si>
  <si>
    <t>Sum of Annual impairment</t>
  </si>
  <si>
    <t>Sum of Derecognition Impairment balance [+]</t>
  </si>
  <si>
    <t>Sum of Accumulated impairments (Closing balance)</t>
  </si>
  <si>
    <t>Sum of Carrying value (closing balance)</t>
  </si>
  <si>
    <t>Sum of Accumulated impairments (Opening balance)</t>
  </si>
  <si>
    <t>mSCOA Asset ID</t>
  </si>
  <si>
    <t>Property, Plant and Equipment</t>
  </si>
  <si>
    <t>Cost / Valuation</t>
  </si>
  <si>
    <t>Accumulated depreciation and accumulated impairment</t>
  </si>
  <si>
    <t>Carrying value</t>
  </si>
  <si>
    <t>Opening balance</t>
  </si>
  <si>
    <t>Impairments</t>
  </si>
  <si>
    <t>Movable assets</t>
  </si>
  <si>
    <t>OTH</t>
  </si>
  <si>
    <t>Other Assets</t>
  </si>
  <si>
    <t>OTHER ASSETS</t>
  </si>
  <si>
    <t>COMPUTER EQUIPMENT</t>
  </si>
  <si>
    <t>OFFICE EQUIPMENT</t>
  </si>
  <si>
    <t>MOTOR VEHICLES</t>
  </si>
  <si>
    <t>PLANT AND MACHINERY</t>
  </si>
  <si>
    <t>computer equipment</t>
  </si>
  <si>
    <t>Wolmaransstad</t>
  </si>
  <si>
    <t>ubiquity unify dual band</t>
  </si>
  <si>
    <t>wcf-s card vigor</t>
  </si>
  <si>
    <t>vigac2s-20 vigor 2 licence</t>
  </si>
  <si>
    <t>gigabit 24 port multiport prot</t>
  </si>
  <si>
    <t>ubiquiti multi mode 10g lc sfp 850nm</t>
  </si>
  <si>
    <t>NO</t>
  </si>
  <si>
    <t>MOV</t>
  </si>
  <si>
    <t>Straight line</t>
  </si>
  <si>
    <t>Movable assets Total</t>
  </si>
  <si>
    <t>Component ID/ Bar code</t>
  </si>
  <si>
    <t>Cost Model</t>
  </si>
  <si>
    <t>Core</t>
  </si>
  <si>
    <t>Finance and Administration : Asset Management</t>
  </si>
  <si>
    <t>FX005002001000000000000000000000000</t>
  </si>
  <si>
    <t>IA002015001018001001000000000000000000</t>
  </si>
  <si>
    <t>Yes</t>
  </si>
  <si>
    <t>NA - Actual Cost</t>
  </si>
  <si>
    <t>No Change</t>
  </si>
  <si>
    <t>Actual Cost</t>
  </si>
  <si>
    <t>FURNITURE AND FITTINGS</t>
  </si>
  <si>
    <t>PPE Movables</t>
  </si>
  <si>
    <t>Owned</t>
  </si>
  <si>
    <t>Reporting date</t>
  </si>
  <si>
    <t>Property Plant and Equipment</t>
  </si>
  <si>
    <t>Movables</t>
  </si>
  <si>
    <t>Furniture and fixtures</t>
  </si>
  <si>
    <t>Cost</t>
  </si>
  <si>
    <t>Accumulated Depreciation and Impairment</t>
  </si>
  <si>
    <t>Carrying Value</t>
  </si>
  <si>
    <t>AFS</t>
  </si>
  <si>
    <t>FAR</t>
  </si>
  <si>
    <t>Difference</t>
  </si>
  <si>
    <t>Proposed Adjusting Journals</t>
  </si>
  <si>
    <t>Description</t>
  </si>
  <si>
    <t>No.</t>
  </si>
  <si>
    <t>Dr</t>
  </si>
  <si>
    <t>Cr</t>
  </si>
  <si>
    <t>Current year depreciation</t>
  </si>
  <si>
    <r>
      <t xml:space="preserve">REFRESH ALL PIVOTS - </t>
    </r>
    <r>
      <rPr>
        <b/>
        <u/>
        <sz val="20"/>
        <color theme="0"/>
        <rFont val="Calibri"/>
        <family val="2"/>
        <scheme val="minor"/>
      </rPr>
      <t>CTRL + ALT + F5</t>
    </r>
  </si>
  <si>
    <t>Asset Custodian/ Responsible Person</t>
  </si>
  <si>
    <t>Prior period error note</t>
  </si>
  <si>
    <t>Previously disclosed</t>
  </si>
  <si>
    <t>Adjustment</t>
  </si>
  <si>
    <t>Restated balance</t>
  </si>
  <si>
    <t>ROOM ID</t>
  </si>
  <si>
    <t>DEPARTMENT</t>
  </si>
  <si>
    <t>LOCATION</t>
  </si>
  <si>
    <t>S/N</t>
  </si>
  <si>
    <t>Purchase Date</t>
  </si>
  <si>
    <t xml:space="preserve">Years utilised in Days </t>
  </si>
  <si>
    <t>Years utilised in Years</t>
  </si>
  <si>
    <t>PRINTER</t>
  </si>
  <si>
    <t>Opening RUL</t>
  </si>
  <si>
    <t>RUL Adjustment</t>
  </si>
  <si>
    <t>Opening RUL 30 June 2022</t>
  </si>
  <si>
    <t>Closing RUL - June 2022</t>
  </si>
  <si>
    <t>Condition</t>
  </si>
  <si>
    <t>Condition Rate</t>
  </si>
  <si>
    <t>Purchased</t>
  </si>
  <si>
    <t>Own funding</t>
  </si>
  <si>
    <t>Model</t>
  </si>
  <si>
    <t>Make</t>
  </si>
  <si>
    <t>Residual Value</t>
  </si>
  <si>
    <t>Residual %</t>
  </si>
  <si>
    <t xml:space="preserve">Derecognitions date </t>
  </si>
  <si>
    <t>Reconciliation of property, plant and equipment - 2022</t>
  </si>
  <si>
    <t>Insurance</t>
  </si>
  <si>
    <t>Movement</t>
  </si>
  <si>
    <t>Column1</t>
  </si>
  <si>
    <t>NHC171</t>
  </si>
  <si>
    <t>NHC172</t>
  </si>
  <si>
    <t>NHC123</t>
  </si>
  <si>
    <t>NHC127</t>
  </si>
  <si>
    <t>NHC128</t>
  </si>
  <si>
    <t>NHC129</t>
  </si>
  <si>
    <t>NHC130</t>
  </si>
  <si>
    <t>NHC131</t>
  </si>
  <si>
    <t>NHC145</t>
  </si>
  <si>
    <t>NHC133</t>
  </si>
  <si>
    <t>NHC104</t>
  </si>
  <si>
    <t>NHC138</t>
  </si>
  <si>
    <t>NHC139</t>
  </si>
  <si>
    <t>NHC140</t>
  </si>
  <si>
    <t>NHC0094</t>
  </si>
  <si>
    <t>NHC107</t>
  </si>
  <si>
    <t>NHC109</t>
  </si>
  <si>
    <t>NHC159</t>
  </si>
  <si>
    <t>NHC162</t>
  </si>
  <si>
    <t>NHC161</t>
  </si>
  <si>
    <t>NHC163</t>
  </si>
  <si>
    <t>NHC178</t>
  </si>
  <si>
    <t>NHC179</t>
  </si>
  <si>
    <t>NHC0083</t>
  </si>
  <si>
    <t>NHC102</t>
  </si>
  <si>
    <t>NHC113</t>
  </si>
  <si>
    <t>NHC0076</t>
  </si>
  <si>
    <t>NHC0078</t>
  </si>
  <si>
    <t>NHC000228</t>
  </si>
  <si>
    <t>NHC 000229</t>
  </si>
  <si>
    <t>NHC 000216</t>
  </si>
  <si>
    <t>NHC 000230</t>
  </si>
  <si>
    <t>NHC 000244</t>
  </si>
  <si>
    <t>NHC 00245</t>
  </si>
  <si>
    <t>NHC 000237</t>
  </si>
  <si>
    <t>NHC 000253</t>
  </si>
  <si>
    <t>NHC 000247</t>
  </si>
  <si>
    <t>NHC 000233</t>
  </si>
  <si>
    <t>NHC 000234</t>
  </si>
  <si>
    <t>NHC 000257</t>
  </si>
  <si>
    <t>NHC 000226</t>
  </si>
  <si>
    <t>NHC 000263</t>
  </si>
  <si>
    <t>NHC 000217</t>
  </si>
  <si>
    <t>NHC 000218</t>
  </si>
  <si>
    <t>NHC 000231</t>
  </si>
  <si>
    <t>NHC 000232</t>
  </si>
  <si>
    <t>NHC 000238</t>
  </si>
  <si>
    <t>NHC 000260</t>
  </si>
  <si>
    <t>NHC 000261</t>
  </si>
  <si>
    <t>NHC 000254</t>
  </si>
  <si>
    <t>NHC 000248</t>
  </si>
  <si>
    <t>NHC 000235</t>
  </si>
  <si>
    <t>NHC 000258</t>
  </si>
  <si>
    <t>NHC 000221</t>
  </si>
  <si>
    <t>NHC 000222</t>
  </si>
  <si>
    <t>NHC 000256</t>
  </si>
  <si>
    <t>NHC 000249</t>
  </si>
  <si>
    <t>NHC 000264</t>
  </si>
  <si>
    <t>NHC 000225</t>
  </si>
  <si>
    <t>NHC 000227</t>
  </si>
  <si>
    <t>NHC 000219</t>
  </si>
  <si>
    <t>NHC 000220</t>
  </si>
  <si>
    <t>NHC 000242</t>
  </si>
  <si>
    <t>NHC 000239</t>
  </si>
  <si>
    <t>NHC 000255</t>
  </si>
  <si>
    <t>NHC 000236</t>
  </si>
  <si>
    <t>NHC 000223</t>
  </si>
  <si>
    <t>NHC 000224</t>
  </si>
  <si>
    <t>NHC 000265</t>
  </si>
  <si>
    <t>NHC 000266</t>
  </si>
  <si>
    <t>NHC 000268</t>
  </si>
  <si>
    <t>NHC 000269</t>
  </si>
  <si>
    <t>NHC 000270</t>
  </si>
  <si>
    <t>NHC 000271</t>
  </si>
  <si>
    <t>NHC 000240</t>
  </si>
  <si>
    <t>NHC 000241</t>
  </si>
  <si>
    <t>NHC 000273</t>
  </si>
  <si>
    <t>NHC 000274</t>
  </si>
  <si>
    <t>NHC 000275</t>
  </si>
  <si>
    <t>NHC 000276</t>
  </si>
  <si>
    <t>NHC 000278</t>
  </si>
  <si>
    <t>NHC 000279</t>
  </si>
  <si>
    <t>NHC 000282</t>
  </si>
  <si>
    <t>NHC 000284</t>
  </si>
  <si>
    <t>NHC000250</t>
  </si>
  <si>
    <t>NHC000289</t>
  </si>
  <si>
    <t>NHC000296</t>
  </si>
  <si>
    <t>NHC000297</t>
  </si>
  <si>
    <t>NHC000298</t>
  </si>
  <si>
    <t>NHC000295</t>
  </si>
  <si>
    <t>NHC 000319</t>
  </si>
  <si>
    <t>NHC 000320</t>
  </si>
  <si>
    <t>NHC 000322</t>
  </si>
  <si>
    <t>NHC 000324</t>
  </si>
  <si>
    <t>NHC 000325</t>
  </si>
  <si>
    <t>NHC 00337</t>
  </si>
  <si>
    <t>NHC000349</t>
  </si>
  <si>
    <t>NHC000350</t>
  </si>
  <si>
    <t>NHC000351</t>
  </si>
  <si>
    <t>NHC000352</t>
  </si>
  <si>
    <t>NHC000354</t>
  </si>
  <si>
    <t>NHC000355</t>
  </si>
  <si>
    <t>NHC000357</t>
  </si>
  <si>
    <t>NHC000356</t>
  </si>
  <si>
    <t>NHC000358</t>
  </si>
  <si>
    <t>NHC000375</t>
  </si>
  <si>
    <t>NHC000376</t>
  </si>
  <si>
    <t>NHC000378</t>
  </si>
  <si>
    <t>NHC000385</t>
  </si>
  <si>
    <t>NHC000391</t>
  </si>
  <si>
    <t>NHC000400</t>
  </si>
  <si>
    <t>NHC000407</t>
  </si>
  <si>
    <t>NHC000429</t>
  </si>
  <si>
    <t>NHC000454</t>
  </si>
  <si>
    <t>NHC000479</t>
  </si>
  <si>
    <t>NHC000488</t>
  </si>
  <si>
    <t>NHC000489</t>
  </si>
  <si>
    <t>NHC00399</t>
  </si>
  <si>
    <t>NHC000523</t>
  </si>
  <si>
    <t>NHC000521</t>
  </si>
  <si>
    <t>NHC000520</t>
  </si>
  <si>
    <t>NHC000524</t>
  </si>
  <si>
    <t>NHC000512</t>
  </si>
  <si>
    <t>NHC000516</t>
  </si>
  <si>
    <t>NHC000515</t>
  </si>
  <si>
    <t>NHC000514</t>
  </si>
  <si>
    <t>NHC000508</t>
  </si>
  <si>
    <t>NHC000501</t>
  </si>
  <si>
    <t>NHC000388</t>
  </si>
  <si>
    <t>NHC000387</t>
  </si>
  <si>
    <t>NHC000389</t>
  </si>
  <si>
    <t>NHC000393</t>
  </si>
  <si>
    <t>NHC000397</t>
  </si>
  <si>
    <t>NHC000386</t>
  </si>
  <si>
    <t>NHC 000419</t>
  </si>
  <si>
    <t>NHC 000182</t>
  </si>
  <si>
    <t>NHC 000518</t>
  </si>
  <si>
    <t>NHC 000344</t>
  </si>
  <si>
    <t>NHC 000345</t>
  </si>
  <si>
    <t>NHC 000347</t>
  </si>
  <si>
    <t>NHC 000415</t>
  </si>
  <si>
    <t>NHC 000437</t>
  </si>
  <si>
    <t>NHC 000056</t>
  </si>
  <si>
    <t>NHC 000581</t>
  </si>
  <si>
    <t>NHC 000582</t>
  </si>
  <si>
    <t>NHC 000583</t>
  </si>
  <si>
    <t>NHC 000584</t>
  </si>
  <si>
    <t>NHC 000585</t>
  </si>
  <si>
    <t>NHC 000586</t>
  </si>
  <si>
    <t>NHC 000588</t>
  </si>
  <si>
    <t>NHC 000589</t>
  </si>
  <si>
    <t>NHC 000590</t>
  </si>
  <si>
    <t>NHC 000592</t>
  </si>
  <si>
    <t>NHC 000561</t>
  </si>
  <si>
    <t>NHC000456</t>
  </si>
  <si>
    <t>NHC0074</t>
  </si>
  <si>
    <t>NHC000804</t>
  </si>
  <si>
    <t>NHC000857</t>
  </si>
  <si>
    <t>NHC000869</t>
  </si>
  <si>
    <t>NHC000839</t>
  </si>
  <si>
    <t>NHC000836</t>
  </si>
  <si>
    <t>NHC000840</t>
  </si>
  <si>
    <t>NHC000860</t>
  </si>
  <si>
    <t>NHC000813</t>
  </si>
  <si>
    <t>NHC000876</t>
  </si>
  <si>
    <t>NHC000890</t>
  </si>
  <si>
    <t>NHC000525</t>
  </si>
  <si>
    <t>NHC 000277</t>
  </si>
  <si>
    <t>NHC 000246</t>
  </si>
  <si>
    <t>NHC 000262</t>
  </si>
  <si>
    <t>NHC000921</t>
  </si>
  <si>
    <t>NHC000678</t>
  </si>
  <si>
    <t>NHC000912</t>
  </si>
  <si>
    <t>NHC000913</t>
  </si>
  <si>
    <t>NHC000662</t>
  </si>
  <si>
    <t>NHC000909</t>
  </si>
  <si>
    <t>NHC000915</t>
  </si>
  <si>
    <t>NHC000681</t>
  </si>
  <si>
    <t>NHC000905</t>
  </si>
  <si>
    <t>NHC000670</t>
  </si>
  <si>
    <t>NHC000658</t>
  </si>
  <si>
    <t>NHC000661</t>
  </si>
  <si>
    <t>NHC000668</t>
  </si>
  <si>
    <t>NHC000641</t>
  </si>
  <si>
    <t>NHC000695</t>
  </si>
  <si>
    <t>NHC000675</t>
  </si>
  <si>
    <t>NHC000689</t>
  </si>
  <si>
    <t>NHC000692</t>
  </si>
  <si>
    <t>NHC000686</t>
  </si>
  <si>
    <t>NHC000677</t>
  </si>
  <si>
    <t>NHC000659</t>
  </si>
  <si>
    <t>NHC000682</t>
  </si>
  <si>
    <t>NHC000683</t>
  </si>
  <si>
    <t>NHC000699</t>
  </si>
  <si>
    <t>NHC000650</t>
  </si>
  <si>
    <t>NHC000651</t>
  </si>
  <si>
    <t>NHC000946</t>
  </si>
  <si>
    <t>nhc000945</t>
  </si>
  <si>
    <t>NHC98</t>
  </si>
  <si>
    <t>NHC0081</t>
  </si>
  <si>
    <t>NHC0082</t>
  </si>
  <si>
    <t>NHC143</t>
  </si>
  <si>
    <t>NHC169</t>
  </si>
  <si>
    <t>NHC122</t>
  </si>
  <si>
    <t>NHC121</t>
  </si>
  <si>
    <t>NHC000476</t>
  </si>
  <si>
    <t>NHC000517</t>
  </si>
  <si>
    <t>NHC103</t>
  </si>
  <si>
    <t>NHC 000551</t>
  </si>
  <si>
    <t>NHC0096</t>
  </si>
  <si>
    <t>NHC118</t>
  </si>
  <si>
    <t>NHC166</t>
  </si>
  <si>
    <t>NHC000141</t>
  </si>
  <si>
    <t>NHC000739</t>
  </si>
  <si>
    <t>NHC000742</t>
  </si>
  <si>
    <t>NHC000988</t>
  </si>
  <si>
    <t>NHC000987</t>
  </si>
  <si>
    <t>NHC000731</t>
  </si>
  <si>
    <t>NHC000722</t>
  </si>
  <si>
    <t>NHC000768</t>
  </si>
  <si>
    <t>NHC000754</t>
  </si>
  <si>
    <t>NHC000734</t>
  </si>
  <si>
    <t>NHC000707</t>
  </si>
  <si>
    <t>NHC000930</t>
  </si>
  <si>
    <t>NHC000796</t>
  </si>
  <si>
    <t>NHC000769</t>
  </si>
  <si>
    <t>NHC000783</t>
  </si>
  <si>
    <t>NHC000792</t>
  </si>
  <si>
    <t>NHC000784</t>
  </si>
  <si>
    <t>NHC000744</t>
  </si>
  <si>
    <t>NHC000751</t>
  </si>
  <si>
    <t>NHC000998</t>
  </si>
  <si>
    <t>NHC000977</t>
  </si>
  <si>
    <t>NHC001012</t>
  </si>
  <si>
    <t>NHC001006</t>
  </si>
  <si>
    <t>NHC001005</t>
  </si>
  <si>
    <t>NHC001001</t>
  </si>
  <si>
    <t>NHC001002</t>
  </si>
  <si>
    <t>NHC001003</t>
  </si>
  <si>
    <t>NHC001004</t>
  </si>
  <si>
    <t>NHC001007</t>
  </si>
  <si>
    <t>NHC001008</t>
  </si>
  <si>
    <t>NHC001009</t>
  </si>
  <si>
    <t>NHC001010</t>
  </si>
  <si>
    <t>NHC001011</t>
  </si>
  <si>
    <t>NHC000725</t>
  </si>
  <si>
    <t>Lockable TV Cabinet</t>
  </si>
  <si>
    <t>1000X600mm Coffee Table</t>
  </si>
  <si>
    <t>1500*750mm Reception desk with Modesty panel</t>
  </si>
  <si>
    <t>950*950mm Coffee Table</t>
  </si>
  <si>
    <t>Traditional Cane Chair</t>
  </si>
  <si>
    <t>Tradition Cane Chair</t>
  </si>
  <si>
    <t>Antique Butlers Tray</t>
  </si>
  <si>
    <t>1800*900mm Partners desk</t>
  </si>
  <si>
    <t>3 Drawer Pedestal</t>
  </si>
  <si>
    <t>Vesta Highback, Swivel &amp; Tilt, Gas Height, Leather</t>
  </si>
  <si>
    <t>Vesta Visitors Armchair, Leather</t>
  </si>
  <si>
    <t>Vesta Visitors Armchair, Leather***</t>
  </si>
  <si>
    <t>1800*900mm Partners Desk</t>
  </si>
  <si>
    <t>Traditional Cane Chair-Range 2 fabric</t>
  </si>
  <si>
    <t>2100*1200mm Partners desk</t>
  </si>
  <si>
    <t>1800*600mm L Extension</t>
  </si>
  <si>
    <t>Lampung double bookcase glass doors</t>
  </si>
  <si>
    <t>1500*1500 MM Square conference table</t>
  </si>
  <si>
    <t>Traditional cane chair-range 2 fabric</t>
  </si>
  <si>
    <t>Traditional cane chair-Range 2 fabric</t>
  </si>
  <si>
    <t>1500*750mm Reception desk with modesty panel</t>
  </si>
  <si>
    <t>1800*900mm partner desk</t>
  </si>
  <si>
    <t>1800*600mm Extension</t>
  </si>
  <si>
    <t>Vesta highback,swivel &amp; tilt, gas height, leather</t>
  </si>
  <si>
    <t>1500 B/Case W/Glass door Mahogany Veneer</t>
  </si>
  <si>
    <t>1500 BCase W/Glass door Mahogany Veneer</t>
  </si>
  <si>
    <t>1500B/Case W/Glass door mahogany Veneer</t>
  </si>
  <si>
    <t>1500 B/Case W/Glass Mahogany Veneer</t>
  </si>
  <si>
    <t>1500 B/Case W/Glass Mahogany Venneer</t>
  </si>
  <si>
    <t>2 Tier Bookcase Mahogany Veneer</t>
  </si>
  <si>
    <t>Wall Unit 1900*1870 Mahogany Veneer</t>
  </si>
  <si>
    <t>1500 Systems Cabinet Mahogany Veneer</t>
  </si>
  <si>
    <t>1500Systems Cabinet Mahogany Veneer</t>
  </si>
  <si>
    <t>Highback chair Leather</t>
  </si>
  <si>
    <t>20 Seater B/Room Table Mahogany Veneer</t>
  </si>
  <si>
    <t>2Div Windsor couch Leather</t>
  </si>
  <si>
    <t>20 Hole Mahogany Venneer</t>
  </si>
  <si>
    <t>Visitors Chairs Leather</t>
  </si>
  <si>
    <t>Visitors Chair  Leather</t>
  </si>
  <si>
    <t>Visitors Chair Leather</t>
  </si>
  <si>
    <t>Visitors chair Leather</t>
  </si>
  <si>
    <t>Rhodes Chair Leather</t>
  </si>
  <si>
    <t>Reception counter</t>
  </si>
  <si>
    <t>Cabinet</t>
  </si>
  <si>
    <t>4 Drawer cabinet</t>
  </si>
  <si>
    <t>Desk</t>
  </si>
  <si>
    <t>Table Extension</t>
  </si>
  <si>
    <t>Artifacts</t>
  </si>
  <si>
    <t>Potrait</t>
  </si>
  <si>
    <t>Drum of Africa with glass top</t>
  </si>
  <si>
    <t>Side Table with Glass Top</t>
  </si>
  <si>
    <t>NHC Pot with Reeds</t>
  </si>
  <si>
    <t>Side Lamp Shade &amp; Stand</t>
  </si>
  <si>
    <t>Artwork</t>
  </si>
  <si>
    <t>Artwok</t>
  </si>
  <si>
    <t>Armchair</t>
  </si>
  <si>
    <t>Mirror</t>
  </si>
  <si>
    <t>Traditional Desk</t>
  </si>
  <si>
    <t>TV Cabinet</t>
  </si>
  <si>
    <t>Tender Box</t>
  </si>
  <si>
    <t>Conference Table</t>
  </si>
  <si>
    <t>Steel Key Cabinet</t>
  </si>
  <si>
    <t>Filing System</t>
  </si>
  <si>
    <t>Tradional Desk</t>
  </si>
  <si>
    <t>L Shape Combination Desk</t>
  </si>
  <si>
    <t>Hinged Door Cabinet</t>
  </si>
  <si>
    <t>Glass Door Cabinet</t>
  </si>
  <si>
    <t>Antique Freestanding L-Ext-No Inlay</t>
  </si>
  <si>
    <t>Single Pedestal Desk 1600 x 800</t>
  </si>
  <si>
    <t>2700x1200 Boardroom Table</t>
  </si>
  <si>
    <t>Chair</t>
  </si>
  <si>
    <t>Vase with Silk Flower Arrangement</t>
  </si>
  <si>
    <t>Cupboard</t>
  </si>
  <si>
    <t>Chair*****</t>
  </si>
  <si>
    <t>Round Table</t>
  </si>
  <si>
    <t>Rhodes visitors armchair-antique</t>
  </si>
  <si>
    <t>Visitor Chair</t>
  </si>
  <si>
    <t>Systems Cabinet</t>
  </si>
  <si>
    <t>3 Drawer pedestal</t>
  </si>
  <si>
    <t>High Back Chair</t>
  </si>
  <si>
    <t>Visitor Chairs</t>
  </si>
  <si>
    <t>Steel Cabinet</t>
  </si>
  <si>
    <t>Wood Cabinet</t>
  </si>
  <si>
    <t>Work Station (Desk)</t>
  </si>
  <si>
    <t>Wiston W/B Couch</t>
  </si>
  <si>
    <t>CHAIR HIGHBACK LEATHER</t>
  </si>
  <si>
    <t>CUPBOARD</t>
  </si>
  <si>
    <t>CUPBOARD OSK</t>
  </si>
  <si>
    <t>CUPBOARD OAK</t>
  </si>
  <si>
    <t>CHAIR VISITORS</t>
  </si>
  <si>
    <t>TABLE ROUND CONFERENCE</t>
  </si>
  <si>
    <t>CHAIR VISITOR</t>
  </si>
  <si>
    <t>CHAIR HIGHBACL LEATHER</t>
  </si>
  <si>
    <t>CABINET DRAWER STEEL</t>
  </si>
  <si>
    <t>DESK WITH DRAWERS</t>
  </si>
  <si>
    <t>Desk with Drawer</t>
  </si>
  <si>
    <t>Cupboards 1500 wood</t>
  </si>
  <si>
    <t>Chair visitors</t>
  </si>
  <si>
    <t>Coat Hanger</t>
  </si>
  <si>
    <t>Black Cabinet</t>
  </si>
  <si>
    <t>3drawer Pedestal</t>
  </si>
  <si>
    <t>Rhodes Swivel Chair-Antique Leather</t>
  </si>
  <si>
    <t>Rhodes Executive Swivel Chair-Antique leather</t>
  </si>
  <si>
    <t>1800*600mmL Extension</t>
  </si>
  <si>
    <t>Vulcan Fire Getone Chair</t>
  </si>
  <si>
    <t>Boardroom Table</t>
  </si>
  <si>
    <t>Espresso Mobile Server</t>
  </si>
  <si>
    <t>Domino Training Table</t>
  </si>
  <si>
    <t>High Street Visitors Chair Black Bonded Leather</t>
  </si>
  <si>
    <t>High Street Visitor Chair Black Bonded Leather</t>
  </si>
  <si>
    <t>Fridge Top Freezer</t>
  </si>
  <si>
    <t>Coffee Table</t>
  </si>
  <si>
    <t>Amoeba Coffee Table</t>
  </si>
  <si>
    <t>Tubby Amrchair</t>
  </si>
  <si>
    <t>Tubby Armchair</t>
  </si>
  <si>
    <t>Eez-Off Swivel Tub Chair</t>
  </si>
  <si>
    <t>High Back Chair*****</t>
  </si>
  <si>
    <t>Mid Back - Visitor Chair</t>
  </si>
  <si>
    <t>Mini Couch 4 Leg</t>
  </si>
  <si>
    <t>Tea Trolley</t>
  </si>
  <si>
    <t>Diplomat Panel Desk/Pedestal</t>
  </si>
  <si>
    <t>Executive Desk</t>
  </si>
  <si>
    <t>Bus Class Visitors Chair</t>
  </si>
  <si>
    <t>L-Extension/Desk H Pedestal/ Credenza</t>
  </si>
  <si>
    <t>Focus Display Unit</t>
  </si>
  <si>
    <t>Rectangular Workshop/ Desk</t>
  </si>
  <si>
    <t>Chair/ Light Green</t>
  </si>
  <si>
    <t>Mobile Pedestal</t>
  </si>
  <si>
    <t>Rectangular Workshop/ Desk/Irreparable</t>
  </si>
  <si>
    <t>Black chair Ativo</t>
  </si>
  <si>
    <t>Training Table</t>
  </si>
  <si>
    <t>Desk &amp; Pedestal</t>
  </si>
  <si>
    <t>GAUTENG</t>
  </si>
  <si>
    <t>NATIONAL HERITAGE COUNCIL</t>
  </si>
  <si>
    <t>DEP</t>
  </si>
  <si>
    <t>Main offices</t>
  </si>
  <si>
    <t>16/04/2004</t>
  </si>
  <si>
    <t>25/03/2004</t>
  </si>
  <si>
    <t>12/09/2005</t>
  </si>
  <si>
    <t>14/09/2005</t>
  </si>
  <si>
    <t>07/09/2005</t>
  </si>
  <si>
    <t>13/09/2005</t>
  </si>
  <si>
    <t>16/09/2005</t>
  </si>
  <si>
    <t>09/09/2005</t>
  </si>
  <si>
    <t>28/09/2005</t>
  </si>
  <si>
    <t>31/03/2004</t>
  </si>
  <si>
    <t>30/03/2007</t>
  </si>
  <si>
    <t>10/08/2007</t>
  </si>
  <si>
    <t>31/01/2008</t>
  </si>
  <si>
    <t>24/01/2008</t>
  </si>
  <si>
    <t>25/02/2008</t>
  </si>
  <si>
    <t>26/06/2007</t>
  </si>
  <si>
    <t>14/12/2007</t>
  </si>
  <si>
    <t>28/05/2008</t>
  </si>
  <si>
    <t>11/03/2009</t>
  </si>
  <si>
    <t>31/07/2009</t>
  </si>
  <si>
    <t>21/04/2004</t>
  </si>
  <si>
    <t>25/04/2004</t>
  </si>
  <si>
    <t>25/03/2005</t>
  </si>
  <si>
    <t>28/10/2010</t>
  </si>
  <si>
    <t>17/02/2012</t>
  </si>
  <si>
    <t>09/03/2012</t>
  </si>
  <si>
    <t>16/09/2013</t>
  </si>
  <si>
    <t>08/11/2013</t>
  </si>
  <si>
    <t>01/03/2013</t>
  </si>
  <si>
    <t>22/03/2013</t>
  </si>
  <si>
    <t>21/02/2013</t>
  </si>
  <si>
    <t>06/07/2004</t>
  </si>
  <si>
    <t>01/05/2015</t>
  </si>
  <si>
    <t>23/09/2015</t>
  </si>
  <si>
    <t>13/03/2017</t>
  </si>
  <si>
    <t>01/04/2009</t>
  </si>
  <si>
    <t>04/07/2018</t>
  </si>
  <si>
    <t>31/03/2021</t>
  </si>
  <si>
    <t>31/10/2022</t>
  </si>
  <si>
    <t>17/11/2022</t>
  </si>
  <si>
    <t>LEASEHOLD IMPROVEMENTS</t>
  </si>
  <si>
    <t>NHC000200</t>
  </si>
  <si>
    <t>NHC000403</t>
  </si>
  <si>
    <t>NHC000406</t>
  </si>
  <si>
    <t>NHC000482</t>
  </si>
  <si>
    <t>NHC000483</t>
  </si>
  <si>
    <t>NHC000852</t>
  </si>
  <si>
    <t>NHC00817</t>
  </si>
  <si>
    <t>NHC 000773</t>
  </si>
  <si>
    <t>NHC000652-2</t>
  </si>
  <si>
    <t>nhc000691-2</t>
  </si>
  <si>
    <t>NHC000667-2</t>
  </si>
  <si>
    <t>NHC000665-2</t>
  </si>
  <si>
    <t>NHC000973</t>
  </si>
  <si>
    <t>NHC000054</t>
  </si>
  <si>
    <t>NHC000740</t>
  </si>
  <si>
    <t>NHC000787</t>
  </si>
  <si>
    <t>GALAXY S7 GOLD</t>
  </si>
  <si>
    <t>NHC001014</t>
  </si>
  <si>
    <t>NHC001020</t>
  </si>
  <si>
    <t>Smart Pen</t>
  </si>
  <si>
    <t>NHC001018</t>
  </si>
  <si>
    <t>NHC001022</t>
  </si>
  <si>
    <t>OFFICE EQUIPMENT AND TOOLS</t>
  </si>
  <si>
    <t>Defy 361 Combi Fridge</t>
  </si>
  <si>
    <t>Sansui DVD Player</t>
  </si>
  <si>
    <t>VCR</t>
  </si>
  <si>
    <t>Samsung Bar Fridge</t>
  </si>
  <si>
    <t>Shredder</t>
  </si>
  <si>
    <t>Aluminium briefcase with foam cut outs</t>
  </si>
  <si>
    <t>Salton Heater</t>
  </si>
  <si>
    <t>shredder rexel</t>
  </si>
  <si>
    <t>schredder rexel</t>
  </si>
  <si>
    <t>SAMSUNG TV 46 3D</t>
  </si>
  <si>
    <t>SAMSUNG BLU RAY</t>
  </si>
  <si>
    <t>LG LCD "32 Col TV</t>
  </si>
  <si>
    <t>Shredder Rexel (Mar) Oldest</t>
  </si>
  <si>
    <t>Comb Binder</t>
  </si>
  <si>
    <t>Vaccum Cleaner</t>
  </si>
  <si>
    <t>Cocktail Bar Fridge</t>
  </si>
  <si>
    <t>SAMSUNG GALAXY S7 GOLD/Lynzi</t>
  </si>
  <si>
    <t>Weighing Scale</t>
  </si>
  <si>
    <t>Microwave</t>
  </si>
  <si>
    <t>Echo Smart Pen 2 Gig</t>
  </si>
  <si>
    <t>E &amp; T Set &amp; Torch</t>
  </si>
  <si>
    <t>Tape Recorder/Mphafe</t>
  </si>
  <si>
    <t>Dstv Decoder (Resource Centre)</t>
  </si>
  <si>
    <t>Dstv Decoder (Reception)</t>
  </si>
  <si>
    <t>Dstv Decoder</t>
  </si>
  <si>
    <t>HP LASERJET PRINTER/Amos</t>
  </si>
  <si>
    <t>BLUETOOTH SCANNER</t>
  </si>
  <si>
    <t>Oil Heater</t>
  </si>
  <si>
    <t>Bar Heater</t>
  </si>
  <si>
    <t>Foot Pedal Sanitiser Dispenser</t>
  </si>
  <si>
    <t>Phillips Conference Kit</t>
  </si>
  <si>
    <t>AUDIO VISUAL</t>
  </si>
  <si>
    <t>Samsung Exhibition  Monitor/Digital screen</t>
  </si>
  <si>
    <t>Samsung Exhibition Monitor/Digital screen</t>
  </si>
  <si>
    <t>Cannon Camera</t>
  </si>
  <si>
    <t>01/03/2005</t>
  </si>
  <si>
    <t>14/04/2005</t>
  </si>
  <si>
    <t>11/03/2008</t>
  </si>
  <si>
    <t>08/05/2009</t>
  </si>
  <si>
    <t>17/05/2011</t>
  </si>
  <si>
    <t>09/06/2009</t>
  </si>
  <si>
    <t>06/03/2013</t>
  </si>
  <si>
    <t>26/03/2013</t>
  </si>
  <si>
    <t>01/05/2009</t>
  </si>
  <si>
    <t>30/04/2005</t>
  </si>
  <si>
    <t>15/07/2004</t>
  </si>
  <si>
    <t>14/07/2004</t>
  </si>
  <si>
    <t>30/06/2015</t>
  </si>
  <si>
    <t>03/01/2017</t>
  </si>
  <si>
    <t>15/03/2017</t>
  </si>
  <si>
    <t>31/07/2017</t>
  </si>
  <si>
    <t>08/11/2017</t>
  </si>
  <si>
    <t>16/10/2017</t>
  </si>
  <si>
    <t>04/06/2018</t>
  </si>
  <si>
    <t>12/06/2018</t>
  </si>
  <si>
    <t>02/10/2018</t>
  </si>
  <si>
    <t>24/07/2020</t>
  </si>
  <si>
    <t>24/05/2021</t>
  </si>
  <si>
    <t>31/03/2022</t>
  </si>
  <si>
    <t>08/04/2022</t>
  </si>
  <si>
    <t>NHC 00573</t>
  </si>
  <si>
    <t>NHC000868</t>
  </si>
  <si>
    <t>NHC000999</t>
  </si>
  <si>
    <t>NHC000992</t>
  </si>
  <si>
    <t>NHC00790</t>
  </si>
  <si>
    <t>NHC000701</t>
  </si>
  <si>
    <t>NHC000950</t>
  </si>
  <si>
    <t>NHC000981</t>
  </si>
  <si>
    <t>NHC001546</t>
  </si>
  <si>
    <t>NHC001512</t>
  </si>
  <si>
    <t>NHC001552</t>
  </si>
  <si>
    <t>NHC001548</t>
  </si>
  <si>
    <t>NHC001542</t>
  </si>
  <si>
    <t>NHC001587</t>
  </si>
  <si>
    <t>NHC001596</t>
  </si>
  <si>
    <t>NHC001589</t>
  </si>
  <si>
    <t>NHC001599</t>
  </si>
  <si>
    <t>NHC001576</t>
  </si>
  <si>
    <t>NHC001547</t>
  </si>
  <si>
    <t>NHC001549</t>
  </si>
  <si>
    <t>NHC001588</t>
  </si>
  <si>
    <t>NHC001554</t>
  </si>
  <si>
    <t>NHC001541</t>
  </si>
  <si>
    <t>NHC001556</t>
  </si>
  <si>
    <t>NHC001566</t>
  </si>
  <si>
    <t>NHC001550</t>
  </si>
  <si>
    <t>NHC001509</t>
  </si>
  <si>
    <t>NHC001565</t>
  </si>
  <si>
    <t>NHC001514</t>
  </si>
  <si>
    <t>19 Monitor/GM</t>
  </si>
  <si>
    <t>LCD Projector</t>
  </si>
  <si>
    <t>Server</t>
  </si>
  <si>
    <t>Poweregde T320 Server (Tower) CPU/Monitor</t>
  </si>
  <si>
    <t>Netgear Prosafe Switch</t>
  </si>
  <si>
    <t>Apple MacBook Pro Retina 13.3/Scm Store</t>
  </si>
  <si>
    <t>Mirco HP server with 2 TB Storage</t>
  </si>
  <si>
    <t>5000VA/4000W Inverter with Vision fully - Sealed deep cycle</t>
  </si>
  <si>
    <t>CP 16UX600X800 Cabinet &amp; Accessories</t>
  </si>
  <si>
    <t>UNI-FI WI-FI ROUTER</t>
  </si>
  <si>
    <t>Dell Laptop</t>
  </si>
  <si>
    <t>Desktop Computer CPU (Reception)</t>
  </si>
  <si>
    <t>Monitor (Desktop Computer)</t>
  </si>
  <si>
    <t>DESKTOP - DELL MONITOR</t>
  </si>
  <si>
    <t>Macbook Air 1.6Ghz, 256HDD/Ngwaila/Nceba</t>
  </si>
  <si>
    <t>Dell Laptop/CFO New</t>
  </si>
  <si>
    <t>Dell Laptop (Intern Scm) - Mandla</t>
  </si>
  <si>
    <t>DELL LAPTOP/Kagiso</t>
  </si>
  <si>
    <t>DELL LAPTOP/Matha</t>
  </si>
  <si>
    <t>Dell Laptop/Ntebo</t>
  </si>
  <si>
    <t>Dell Laptop/Gugu broken</t>
  </si>
  <si>
    <t>Dell Laptop/Ntshanga New</t>
  </si>
  <si>
    <t>Dell Laptop/Mabe</t>
  </si>
  <si>
    <t>Dell Laptop/Matanato New</t>
  </si>
  <si>
    <t>DELL LAPTOP/Nozipho</t>
  </si>
  <si>
    <t>DELL LAPTOP/Matime</t>
  </si>
  <si>
    <t>LENOVO LAPTOP/Andrew</t>
  </si>
  <si>
    <t>LENOVO LAPTOP/Eudie - Corne</t>
  </si>
  <si>
    <t>LENOVO LAPTOP/Nangamso</t>
  </si>
  <si>
    <t>LENOVO LAPTOP/Mphafe</t>
  </si>
  <si>
    <t>DELL LAPTOP - Lucky</t>
  </si>
  <si>
    <t>LENOVO LAPTOP/Zama</t>
  </si>
  <si>
    <t>DELL LAPTOP/Zandalee</t>
  </si>
  <si>
    <t>Laptop Dell Mobile Precision Workstation 3561 CTO</t>
  </si>
  <si>
    <t>Laptop Dell Mobile Precision Workstation 3561 CTO (Motlatjo Ralefane)</t>
  </si>
  <si>
    <t>Samsung Tab S8 Ultra 14.6 5G Grey</t>
  </si>
  <si>
    <t>17/08/2010</t>
  </si>
  <si>
    <t>05/07/2011</t>
  </si>
  <si>
    <t>29/10/2014</t>
  </si>
  <si>
    <t>10/12/2014</t>
  </si>
  <si>
    <t>19/08/2015</t>
  </si>
  <si>
    <t>02/09/2016</t>
  </si>
  <si>
    <t>15/12/2016</t>
  </si>
  <si>
    <t>23/05/2017</t>
  </si>
  <si>
    <t>06/10/2017</t>
  </si>
  <si>
    <t>24/08/2018</t>
  </si>
  <si>
    <t>16/08/2018</t>
  </si>
  <si>
    <t>02/08/2018</t>
  </si>
  <si>
    <t>10/12/2020</t>
  </si>
  <si>
    <t>12/01/2022</t>
  </si>
  <si>
    <t>04/03/2022</t>
  </si>
  <si>
    <t>16/08/2022</t>
  </si>
  <si>
    <t>03/11/2022</t>
  </si>
  <si>
    <t>NHC01/0809</t>
  </si>
  <si>
    <t>NHC23/1112</t>
  </si>
  <si>
    <t>ComputerNHC 2011/12</t>
  </si>
  <si>
    <t>NHC51/1314</t>
  </si>
  <si>
    <t>FIN REP2021</t>
  </si>
  <si>
    <t>COMPUTER SOFTWARE</t>
  </si>
  <si>
    <t>Pastel Evolution</t>
  </si>
  <si>
    <t>Financial Report</t>
  </si>
  <si>
    <t>Adjusting  JNL</t>
  </si>
  <si>
    <t>Caseware Software</t>
  </si>
  <si>
    <t>FINANCIAL REPORTING TOOL</t>
  </si>
  <si>
    <t>18/06/2008</t>
  </si>
  <si>
    <t>15/03/2012</t>
  </si>
  <si>
    <t>31/05/2011</t>
  </si>
  <si>
    <t>04/06/2013</t>
  </si>
  <si>
    <t>29/09/2021</t>
  </si>
  <si>
    <t>HK 93 WX GP</t>
  </si>
  <si>
    <t>Toyota Corolla Light Blue</t>
  </si>
  <si>
    <t>15/05/2018</t>
  </si>
  <si>
    <t>NHC00054</t>
  </si>
  <si>
    <t>000074</t>
  </si>
  <si>
    <t>000079</t>
  </si>
  <si>
    <t>000155</t>
  </si>
  <si>
    <t>000156</t>
  </si>
  <si>
    <t>000157</t>
  </si>
  <si>
    <t>000562</t>
  </si>
  <si>
    <t>000671</t>
  </si>
  <si>
    <t>001455</t>
  </si>
  <si>
    <t>NHC 000153</t>
  </si>
  <si>
    <t>NHC000083</t>
  </si>
  <si>
    <t>NHC000326</t>
  </si>
  <si>
    <t xml:space="preserve">Rhodes Chair leather Armrest brown </t>
  </si>
  <si>
    <t>High Back leather chair black Armrest wheel</t>
  </si>
  <si>
    <t xml:space="preserve">High Back Chair Cloth Armrest and Wheels Black </t>
  </si>
  <si>
    <t>DELL LAPTOP PRECISION 3561</t>
  </si>
  <si>
    <t>01/04/2004</t>
  </si>
  <si>
    <t>Midback Leather Chair armrest steelframe- maroon</t>
  </si>
  <si>
    <t>Current year movement</t>
  </si>
  <si>
    <t>Depreciation - FURNITURE AND FITTINGS</t>
  </si>
  <si>
    <t>Depreciation - COMPUTER EQUIPMENT</t>
  </si>
  <si>
    <t>Depreciation - MOTOR VEHICLES</t>
  </si>
  <si>
    <t>Depreciation - LEASEHOLD IMPROVEMENTS</t>
  </si>
  <si>
    <t>Depreciation - OFFICE EQUIPMENT AND TOOLS</t>
  </si>
  <si>
    <t>Accumulated Depreciation - FURNITURE AND FITTINGS</t>
  </si>
  <si>
    <t>Accumulated Depreciation - COMPUTER EQUIPMENT</t>
  </si>
  <si>
    <t>Accumulated Depreciation - MOTOR VEHICLES</t>
  </si>
  <si>
    <t>Accumulated Depreciation - LEASEHOLD IMPROVEMENTS</t>
  </si>
  <si>
    <t>Accumulated Depreciation - OFFICE EQUIPMENT AND TOOLS</t>
  </si>
  <si>
    <t>Derecognition of asset no longer in use</t>
  </si>
  <si>
    <t>Asset Write - off/ disposal/ Derec</t>
  </si>
  <si>
    <t>Cost - FURNITURE AND FITTINGS</t>
  </si>
  <si>
    <t>GRV24801</t>
  </si>
  <si>
    <t>GRV25028</t>
  </si>
  <si>
    <t>IA</t>
  </si>
  <si>
    <t>Intangible Assets</t>
  </si>
  <si>
    <t>CMSOF</t>
  </si>
  <si>
    <t>INT</t>
  </si>
  <si>
    <t>PO22033 - Grant Management System</t>
  </si>
  <si>
    <t>PO22473 - Grant Making System</t>
  </si>
  <si>
    <t>30/06/2022</t>
  </si>
  <si>
    <t>31/08/2022</t>
  </si>
  <si>
    <t>Biometric Devices - Server Room</t>
  </si>
  <si>
    <t>Lenovo Thinking Pad - Not yet allocated - August 23</t>
  </si>
  <si>
    <t>Lenovo Thinking Pad</t>
  </si>
  <si>
    <t>Lenovo Thinking Pad - Palesa</t>
  </si>
  <si>
    <t>Lenovo Thinking Pad - Mbalenhle</t>
  </si>
  <si>
    <t>Lenovo Thinking Pad - Tshehlane</t>
  </si>
  <si>
    <t>Lenovo Thinking Pad - Adv Ralefatane</t>
  </si>
  <si>
    <t>Lenovo Laptop - Dr Manetsi</t>
  </si>
  <si>
    <t>Lenovo Laptop - Matanato Ngwaila</t>
  </si>
  <si>
    <t>Lenovo Laptop - Lungile Zwane</t>
  </si>
  <si>
    <t>Lenovo Laptop - Bongeka Buthelezi</t>
  </si>
  <si>
    <t>Lenovo Laptop - Salome Sithole</t>
  </si>
  <si>
    <t>Lenovo Laptop - Unassigned</t>
  </si>
  <si>
    <t>Lenovo Laptop - Sindisiwe Zawana</t>
  </si>
  <si>
    <t>Lenovo Laptop - Sibongile Ndzimande</t>
  </si>
  <si>
    <t>Lenovo Laptop - Dr Tsholofelo Mosala</t>
  </si>
  <si>
    <t>Lenovo Laptop - Simon Nkosi</t>
  </si>
  <si>
    <t>Lenovo Laptop - Thandanani Mkhize</t>
  </si>
  <si>
    <t>Samsung Galaxy Tab A9 - Ms Kibini Elizabeth</t>
  </si>
  <si>
    <t>Projector - Mainboardroom</t>
  </si>
  <si>
    <t>18/05/2023</t>
  </si>
  <si>
    <t>13/07/2023</t>
  </si>
  <si>
    <t>28/03/2024</t>
  </si>
  <si>
    <t>16/02/2024</t>
  </si>
  <si>
    <t>Open plan finance</t>
  </si>
  <si>
    <t xml:space="preserve">Basement </t>
  </si>
  <si>
    <t>R8 executive office</t>
  </si>
  <si>
    <t xml:space="preserve">Basement storage </t>
  </si>
  <si>
    <t>R8 Executive Office</t>
  </si>
  <si>
    <t xml:space="preserve">Open Plan Finance </t>
  </si>
  <si>
    <t>R13 ceo office</t>
  </si>
  <si>
    <t>R5</t>
  </si>
  <si>
    <t xml:space="preserve">Open plan co- business </t>
  </si>
  <si>
    <t xml:space="preserve">R2 Open plan finance </t>
  </si>
  <si>
    <t xml:space="preserve">R5 </t>
  </si>
  <si>
    <t>R5 executive office</t>
  </si>
  <si>
    <t xml:space="preserve">R1 Main Reception </t>
  </si>
  <si>
    <t>R13 CEO Offce</t>
  </si>
  <si>
    <t>R4 Main Board room</t>
  </si>
  <si>
    <t>Open Plan HR</t>
  </si>
  <si>
    <t xml:space="preserve">Open Plan Co business </t>
  </si>
  <si>
    <t>Open plan Risk</t>
  </si>
  <si>
    <t xml:space="preserve">R3 Open plan finance </t>
  </si>
  <si>
    <t>R9 executive office</t>
  </si>
  <si>
    <t>R13 CEO Office</t>
  </si>
  <si>
    <t>R27</t>
  </si>
  <si>
    <t>Open Plan Risk</t>
  </si>
  <si>
    <t>R29</t>
  </si>
  <si>
    <t>Open Plan finance</t>
  </si>
  <si>
    <t>R12 Executive Offices</t>
  </si>
  <si>
    <t>Open Plan core business</t>
  </si>
  <si>
    <t>R26 storeroom HR</t>
  </si>
  <si>
    <t>R10 Executive Office</t>
  </si>
  <si>
    <t>R24</t>
  </si>
  <si>
    <t xml:space="preserve">R11 executive boardroom </t>
  </si>
  <si>
    <t>R23</t>
  </si>
  <si>
    <t>R15 executive office</t>
  </si>
  <si>
    <t>R22</t>
  </si>
  <si>
    <t xml:space="preserve">R15 executive offices </t>
  </si>
  <si>
    <t xml:space="preserve">R1 Open plan finance </t>
  </si>
  <si>
    <t>R31</t>
  </si>
  <si>
    <t>R11 executive board room</t>
  </si>
  <si>
    <t xml:space="preserve">R10 executive offices </t>
  </si>
  <si>
    <t xml:space="preserve">R4 main boardroom </t>
  </si>
  <si>
    <t>R6 executive office</t>
  </si>
  <si>
    <t xml:space="preserve">R28 </t>
  </si>
  <si>
    <t xml:space="preserve">R6 executive offices </t>
  </si>
  <si>
    <t xml:space="preserve">Open plan co-business </t>
  </si>
  <si>
    <t>R25</t>
  </si>
  <si>
    <t xml:space="preserve">R13 ceo office </t>
  </si>
  <si>
    <t xml:space="preserve">R16 </t>
  </si>
  <si>
    <t xml:space="preserve">R21 hr Storeroom </t>
  </si>
  <si>
    <t>Passage executive offices</t>
  </si>
  <si>
    <t>R27 Core business</t>
  </si>
  <si>
    <t>Open plan co-Business</t>
  </si>
  <si>
    <t xml:space="preserve">Open Plan communications </t>
  </si>
  <si>
    <t>R10 executive office</t>
  </si>
  <si>
    <t>R3</t>
  </si>
  <si>
    <t>R21 HR store room</t>
  </si>
  <si>
    <t>Open Plan Communications</t>
  </si>
  <si>
    <t xml:space="preserve">R3 </t>
  </si>
  <si>
    <t>R30</t>
  </si>
  <si>
    <t>Open plan Office finance</t>
  </si>
  <si>
    <t xml:space="preserve">R9 executive offices </t>
  </si>
  <si>
    <t xml:space="preserve">Open plan Office </t>
  </si>
  <si>
    <t xml:space="preserve">R4 Board room </t>
  </si>
  <si>
    <t>R4 Main Boardroom</t>
  </si>
  <si>
    <t>R18</t>
  </si>
  <si>
    <t>R1 Reception</t>
  </si>
  <si>
    <t>R28 Core business</t>
  </si>
  <si>
    <t>R33</t>
  </si>
  <si>
    <t>Server room finance</t>
  </si>
  <si>
    <t xml:space="preserve">Basement parking </t>
  </si>
  <si>
    <t>R2</t>
  </si>
  <si>
    <t>R17</t>
  </si>
  <si>
    <t>Open plan HR</t>
  </si>
  <si>
    <t>Counciler</t>
  </si>
  <si>
    <t>R17 server room</t>
  </si>
  <si>
    <t>Basement parking 2</t>
  </si>
  <si>
    <t>R11 executive boardroom</t>
  </si>
  <si>
    <t>Open plan co-business</t>
  </si>
  <si>
    <t>R28</t>
  </si>
  <si>
    <t xml:space="preserve">Open plan finance </t>
  </si>
  <si>
    <t>Open plan Communication</t>
  </si>
  <si>
    <t xml:space="preserve">Open plan Co-Business </t>
  </si>
  <si>
    <t xml:space="preserve"> R1</t>
  </si>
  <si>
    <t>R10</t>
  </si>
  <si>
    <t>R15 Executive office</t>
  </si>
  <si>
    <t xml:space="preserve">Open plan Co- Business </t>
  </si>
  <si>
    <t xml:space="preserve">R8 executive offices </t>
  </si>
  <si>
    <t>L.Mashilo</t>
  </si>
  <si>
    <t>S.Skenjana</t>
  </si>
  <si>
    <t>N. Ngabeni</t>
  </si>
  <si>
    <t>S. Skenjana</t>
  </si>
  <si>
    <t>M. Davids</t>
  </si>
  <si>
    <t>C. GALLOWAY</t>
  </si>
  <si>
    <t>S. Pudikabekwa</t>
  </si>
  <si>
    <t>T. Maso</t>
  </si>
  <si>
    <t>N. Gawula</t>
  </si>
  <si>
    <t>S. PUDIKABEKWA</t>
  </si>
  <si>
    <t>M. Letsoale</t>
  </si>
  <si>
    <t>T. Manetsi</t>
  </si>
  <si>
    <t>L.Zwane</t>
  </si>
  <si>
    <t>M. Ndalamo</t>
  </si>
  <si>
    <t>R. Mandiwana</t>
  </si>
  <si>
    <t>M. MANENZHE</t>
  </si>
  <si>
    <t>P. Kadi</t>
  </si>
  <si>
    <t>K.Mashilo</t>
  </si>
  <si>
    <t>T. MANETSI</t>
  </si>
  <si>
    <t>B. Maqasela</t>
  </si>
  <si>
    <t>M. Ngwaila</t>
  </si>
  <si>
    <t>M.Manenzhe</t>
  </si>
  <si>
    <t>A. Mulaudzi</t>
  </si>
  <si>
    <t>T. MASO</t>
  </si>
  <si>
    <t>Z. Sithole</t>
  </si>
  <si>
    <t>N.Mbeki</t>
  </si>
  <si>
    <t>S. Zawana</t>
  </si>
  <si>
    <t xml:space="preserve">M. Chamane </t>
  </si>
  <si>
    <t>K. Mashilo</t>
  </si>
  <si>
    <t>L Zwane</t>
  </si>
  <si>
    <t>M. PHUKUBJE</t>
  </si>
  <si>
    <t>L. Mphafe</t>
  </si>
  <si>
    <t>T. Molema</t>
  </si>
  <si>
    <t>T.Shilakwe</t>
  </si>
  <si>
    <t>Tl. Shilakwe</t>
  </si>
  <si>
    <t>C. Van Huyssteen</t>
  </si>
  <si>
    <t>SP. Pudikabekwa</t>
  </si>
  <si>
    <t>C. VAN Huyssteen</t>
  </si>
  <si>
    <t>S. Buthelezi</t>
  </si>
  <si>
    <t>A.MULAUDZI</t>
  </si>
  <si>
    <t xml:space="preserve">S. Skenjana </t>
  </si>
  <si>
    <t>M. Chamane</t>
  </si>
  <si>
    <t>T. Maake</t>
  </si>
  <si>
    <t>M. TAWANE</t>
  </si>
  <si>
    <t>P.f. Ceza</t>
  </si>
  <si>
    <t>S. SKENJANA</t>
  </si>
  <si>
    <t>M. Serebolo</t>
  </si>
  <si>
    <t>M. Phukubje</t>
  </si>
  <si>
    <t>A. Noge</t>
  </si>
  <si>
    <t>T.Molema</t>
  </si>
  <si>
    <t>K.Mpumlwana</t>
  </si>
  <si>
    <t>B. Magasela</t>
  </si>
  <si>
    <t>G. Mdluli</t>
  </si>
  <si>
    <t>S. Makhura</t>
  </si>
  <si>
    <t>B.L Mthombeni</t>
  </si>
  <si>
    <t>A.Mbuli</t>
  </si>
  <si>
    <t>TL. Shilakwe</t>
  </si>
  <si>
    <t>M Chamane</t>
  </si>
  <si>
    <t>N.V Mtshali</t>
  </si>
  <si>
    <t>A.Noge</t>
  </si>
  <si>
    <t>S. Zimela</t>
  </si>
  <si>
    <t>D.T Mkhonto</t>
  </si>
  <si>
    <t xml:space="preserve">S.P Pudikabekwa </t>
  </si>
  <si>
    <t>M. Manenzhe</t>
  </si>
  <si>
    <t>S.skenjana</t>
  </si>
  <si>
    <t>M. Maponya</t>
  </si>
  <si>
    <t>S.P. Pudikabekwa</t>
  </si>
  <si>
    <t>K.S Mojapelo</t>
  </si>
  <si>
    <t>SC. Thobejane</t>
  </si>
  <si>
    <t>G. Hlatshwayo</t>
  </si>
  <si>
    <t>S.Zawana</t>
  </si>
  <si>
    <t xml:space="preserve">BN Ramapuputla </t>
  </si>
  <si>
    <t>A.Hlatshwayo</t>
  </si>
  <si>
    <t>N. Molema</t>
  </si>
  <si>
    <t xml:space="preserve">N.Ngwaila </t>
  </si>
  <si>
    <t>B.N. Ramapuputla</t>
  </si>
  <si>
    <t>S.Buthelezi</t>
  </si>
  <si>
    <t>M.Letsoale</t>
  </si>
  <si>
    <t>M. Tawane</t>
  </si>
  <si>
    <t>N. Maluleke</t>
  </si>
  <si>
    <t>L. Zwane</t>
  </si>
  <si>
    <t>KS. Mojapelo</t>
  </si>
  <si>
    <t xml:space="preserve">S. Zawana </t>
  </si>
  <si>
    <t>N.Ndlovu</t>
  </si>
  <si>
    <t>M. Maponyana</t>
  </si>
  <si>
    <t>S.Mabhura</t>
  </si>
  <si>
    <t>N.Gawula</t>
  </si>
  <si>
    <t>L.Mphafe</t>
  </si>
  <si>
    <t xml:space="preserve">N. GAWULA </t>
  </si>
  <si>
    <t>PF. Ceza</t>
  </si>
  <si>
    <t>O.Mereki</t>
  </si>
  <si>
    <t>T.Mpahlele</t>
  </si>
  <si>
    <t>M.letsoalo</t>
  </si>
  <si>
    <t>G.Hlatshwayo</t>
  </si>
  <si>
    <t>C. VAN Husyssteen</t>
  </si>
  <si>
    <t>A.Mlaudzi</t>
  </si>
  <si>
    <t>Z.Sithole</t>
  </si>
  <si>
    <t>N.Ngabeni</t>
  </si>
  <si>
    <t>A. Mbuli</t>
  </si>
  <si>
    <t>G. Mathye</t>
  </si>
  <si>
    <t>Z. Makhawula</t>
  </si>
  <si>
    <t>S.Ndlovu</t>
  </si>
  <si>
    <t>T. Mphahlele</t>
  </si>
  <si>
    <t>K. Bodiba</t>
  </si>
  <si>
    <t>G. Lekhonkhobe</t>
  </si>
  <si>
    <t>N.Ngwaila</t>
  </si>
  <si>
    <t>G.Lekhonkhobe</t>
  </si>
  <si>
    <t>M.Maponya</t>
  </si>
  <si>
    <t>MJ. Ralefatane</t>
  </si>
  <si>
    <t>Dr Manetsi</t>
  </si>
  <si>
    <t>B. Bhuthelezi</t>
  </si>
  <si>
    <t>S.ZAWANA</t>
  </si>
  <si>
    <t>S.Ndzimande</t>
  </si>
  <si>
    <t>2 - Good  (46-70%)</t>
  </si>
  <si>
    <t>3 - Fair (26-45%)</t>
  </si>
  <si>
    <t>4 - Poor (11-25%)</t>
  </si>
  <si>
    <t>5 - Very poor (0-10%)</t>
  </si>
  <si>
    <t>1 - Very good (71-100%)</t>
  </si>
  <si>
    <t>Judge Visitor Chair, Standard with Mahogany in Class 5 Black Bonded Leather</t>
  </si>
  <si>
    <t>Oslo Library Single Seater Couch with Loose seat Cushion in Class 6 Grey Bonded Leather</t>
  </si>
  <si>
    <t>Contemporary 4 Legged Coffee Table 1200x600 in Mahogany Veneer</t>
  </si>
  <si>
    <t>18/10/2023</t>
  </si>
  <si>
    <t>2 - Very good (71-100%)</t>
  </si>
  <si>
    <t>3 - Very good (71-100%)</t>
  </si>
  <si>
    <t>4 - Very good (71-100%)</t>
  </si>
  <si>
    <t>5 - Very good (71-100%)</t>
  </si>
  <si>
    <t>6 - Very good (71-100%)</t>
  </si>
  <si>
    <t>7 - Very good (71-100%)</t>
  </si>
  <si>
    <t>8 - Very good (71-100%)</t>
  </si>
  <si>
    <t>9 - Very good (71-100%)</t>
  </si>
  <si>
    <t>10 - Very good (71-100%)</t>
  </si>
  <si>
    <t>11 - Very good (71-100%)</t>
  </si>
  <si>
    <t>12 - Very good (71-100%)</t>
  </si>
  <si>
    <t>13 - Very good (71-100%)</t>
  </si>
  <si>
    <t>Samsung Galaxy Tab A9 - Ms Elodie Tlhoaele</t>
  </si>
  <si>
    <t>Accessory 2 : 1x 11-16mm Lens ( with AF</t>
  </si>
  <si>
    <t>Accessory 3 : 1x 35mm lens ( with AF)</t>
  </si>
  <si>
    <t>Accessory 5 : 1x 18- 200mm lens (with AF)</t>
  </si>
  <si>
    <t>Accessory 6 : 1x 500mm Lens</t>
  </si>
  <si>
    <t>Accessory 7 : 1x external hard drive USB 3.0, 2TB, External durability, Fast Performance</t>
  </si>
  <si>
    <t>Tri-pod Stand</t>
  </si>
  <si>
    <t>Editing Software</t>
  </si>
  <si>
    <t>2025 Closing Balance</t>
  </si>
  <si>
    <t>2024 Opening Balance</t>
  </si>
  <si>
    <t>01/04/2024 - 31/03/2025</t>
  </si>
  <si>
    <t>1941</t>
  </si>
  <si>
    <t>1907</t>
  </si>
  <si>
    <t>1937</t>
  </si>
  <si>
    <t>1940</t>
  </si>
  <si>
    <t>001649</t>
  </si>
  <si>
    <t>001964</t>
  </si>
  <si>
    <t>001955</t>
  </si>
  <si>
    <t>001969</t>
  </si>
  <si>
    <t>001809</t>
  </si>
  <si>
    <t>001850</t>
  </si>
  <si>
    <t>1886</t>
  </si>
  <si>
    <t>001664</t>
  </si>
  <si>
    <t>001663</t>
  </si>
  <si>
    <t>001662</t>
  </si>
  <si>
    <t>001661</t>
  </si>
  <si>
    <t>001882</t>
  </si>
  <si>
    <t>001652</t>
  </si>
  <si>
    <t>1660</t>
  </si>
  <si>
    <t>1658</t>
  </si>
  <si>
    <t>1656</t>
  </si>
  <si>
    <t>1654</t>
  </si>
  <si>
    <t>001954</t>
  </si>
  <si>
    <t>1965</t>
  </si>
  <si>
    <t>002000</t>
  </si>
  <si>
    <t>001968</t>
  </si>
  <si>
    <t>001637</t>
  </si>
  <si>
    <t>001551</t>
  </si>
  <si>
    <t>001563</t>
  </si>
  <si>
    <t>001527</t>
  </si>
  <si>
    <t>001979</t>
  </si>
  <si>
    <t>001923</t>
  </si>
  <si>
    <t>001528</t>
  </si>
  <si>
    <t>001996</t>
  </si>
  <si>
    <t>001539</t>
  </si>
  <si>
    <t>001531</t>
  </si>
  <si>
    <t>001560</t>
  </si>
  <si>
    <t>001829</t>
  </si>
  <si>
    <t>001700</t>
  </si>
  <si>
    <t>32</t>
  </si>
  <si>
    <t>R32</t>
  </si>
  <si>
    <t xml:space="preserve">Open plan Risk </t>
  </si>
  <si>
    <t xml:space="preserve">Open Plan co-business </t>
  </si>
  <si>
    <t>R6</t>
  </si>
  <si>
    <t>Sensitive Camera Microphone</t>
  </si>
  <si>
    <t>Professional Camera with Tripot</t>
  </si>
  <si>
    <t>Voice Monitor Head Sets</t>
  </si>
  <si>
    <t xml:space="preserve"> Tripod</t>
  </si>
  <si>
    <t>Lenovo- A.Mbuli</t>
  </si>
  <si>
    <t>Lenovo laptop- T.Maso</t>
  </si>
  <si>
    <t>DU0247106</t>
  </si>
  <si>
    <t>PW0DYF8082R700FESA</t>
  </si>
  <si>
    <t>PW08SYQN82Y00054SA</t>
  </si>
  <si>
    <t>PW08AZ5682Y00054SA</t>
  </si>
  <si>
    <t>PW0DYF7F</t>
  </si>
  <si>
    <t>pW0DYF77PWN0B4A04008</t>
  </si>
  <si>
    <t>pW082B01PWN0B3A10004</t>
  </si>
  <si>
    <t>PW08SYRY</t>
  </si>
  <si>
    <t>pW0DYF7SPWN0B4A04008</t>
  </si>
  <si>
    <t>pW0DYF7ZPWN0B4A04008</t>
  </si>
  <si>
    <t>pW0DYF7QPWN0B4A04008</t>
  </si>
  <si>
    <t>pW0DYF72PWN0B4A04008</t>
  </si>
  <si>
    <t>19/09/2024</t>
  </si>
  <si>
    <t>Etra Lens</t>
  </si>
  <si>
    <t>Lenovo Laptop J.Mlilo</t>
  </si>
  <si>
    <t>Lenovo laptop-N. Gawula</t>
  </si>
  <si>
    <t>Lenovo Laptop</t>
  </si>
  <si>
    <t>Ubiquiti unifi switch pro server</t>
  </si>
  <si>
    <t>Ubiquiti unifi switch pro 48 port 40PoE+ 8PoE++600w 4SFP + USW-Pro-48-POE</t>
  </si>
  <si>
    <t>18/02/2025</t>
  </si>
  <si>
    <t>27/08/2024</t>
  </si>
  <si>
    <t>Sum of Revaluation Adjustment Cost</t>
  </si>
  <si>
    <t>10/06/2024</t>
  </si>
  <si>
    <t>001960</t>
  </si>
  <si>
    <t>001948</t>
  </si>
  <si>
    <t>001970</t>
  </si>
  <si>
    <t>001957</t>
  </si>
  <si>
    <t>Macbook - CM Chairperson Edgar</t>
  </si>
  <si>
    <t>Lenovo Laptop - Andiswa Mbuli</t>
  </si>
  <si>
    <t>Lenovo Laptop - Kleinbooi Mashilo</t>
  </si>
  <si>
    <t>Macbook - Nceba Gawula</t>
  </si>
  <si>
    <t>Macbook - CM Chairperson Masemola</t>
  </si>
  <si>
    <t>Macbook - Bongiwe Mthombeni</t>
  </si>
  <si>
    <t>DELL LAPTOP/Tshepo</t>
  </si>
  <si>
    <t>Tshepo</t>
  </si>
  <si>
    <t>ICT Room</t>
  </si>
  <si>
    <t>Open Plan Finance</t>
  </si>
  <si>
    <t>Lenovo Laptop - T. Manetsi</t>
  </si>
  <si>
    <t>CEO</t>
  </si>
  <si>
    <t>CM</t>
  </si>
  <si>
    <t>CEO - Edger</t>
  </si>
  <si>
    <t>T. Mosala</t>
  </si>
  <si>
    <t>Server Equipment</t>
  </si>
  <si>
    <t>Summit Place 3</t>
  </si>
  <si>
    <t>01/06/2024</t>
  </si>
  <si>
    <t>BUILDING ENHANCEMENT - SUMMIT PLACE</t>
  </si>
  <si>
    <t>Monthly depreciation</t>
  </si>
  <si>
    <t>Closing RUL - June 2026</t>
  </si>
  <si>
    <t>Opening RUL 30 June 2026</t>
  </si>
  <si>
    <t>Reconciliation of property, plant and equipment - 2026</t>
  </si>
  <si>
    <t>Council member</t>
  </si>
  <si>
    <t>GALAXY TAB S10FE</t>
  </si>
  <si>
    <t>Details for Sum of Cost Price (opening balance) - Sub class Item: Other Assets, Asset Sub Category (Level 3): FURNITURE AND FITTINGS, Asset Category (Level 2): Movable assets</t>
  </si>
  <si>
    <t>Council chamber</t>
  </si>
  <si>
    <t xml:space="preserve">Open Plan finance </t>
  </si>
  <si>
    <t>R13</t>
  </si>
  <si>
    <t xml:space="preserve">Councilor </t>
  </si>
  <si>
    <t>Details for Sum of Additions capitalised (@actual cost) - Sub class Item: Other Assets, Asset Sub Category (Level 3): COMPUTER EQUIPMENT, Asset Category (Level 2): Movable assets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</si>
</sst>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6" formatCode="&quot;R&quot;#,##0;[Red]\-&quot;R&quot;#,##0"/>
    <numFmt numFmtId="44" formatCode="_-&quot;R&quot;* #,##0.00_-;\-&quot;R&quot;* #,##0.00_-;_-&quot;R&quot;* &quot;-&quot;??_-;_-@_-"/>
    <numFmt numFmtId="43" formatCode="_-* #,##0.00_-;\-* #,##0.00_-;_-* &quot;-&quot;??_-;_-@_-"/>
    <numFmt numFmtId="164" formatCode="_(* #,##0.00_);_(* \(#,##0.00\);_(* &quot;-&quot;??_);_(@_)"/>
    <numFmt numFmtId="165" formatCode="_ * #,##0.00_ ;_ * \-#,##0.00_ ;_ * &quot;-&quot;??_ ;_ @_ "/>
    <numFmt numFmtId="166" formatCode="[$-F800]dddd\,\ mmmm\ dd\,\ yyyy"/>
    <numFmt numFmtId="167" formatCode="_ [$R-436]\ * #,##0.0_ ;_ [$R-436]\ * \-#,##0.0_ ;_ [$R-436]\ * &quot;-&quot;??_ ;_ @_ "/>
    <numFmt numFmtId="168" formatCode="_ * #,##0_ ;_ * \-#,##0_ ;_ * &quot;-&quot;??_ ;_ @_ "/>
    <numFmt numFmtId="169" formatCode="dd\ mmm\ yyyy"/>
  </numFmts>
  <fonts count="3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indexed="8"/>
      <name val="Arial Narrow"/>
      <family val="2"/>
    </font>
    <font>
      <b/>
      <sz val="9"/>
      <color theme="1"/>
      <name val="Arial Narrow"/>
      <family val="2"/>
    </font>
    <font>
      <b/>
      <i/>
      <sz val="10"/>
      <color indexed="8"/>
      <name val="Arial Narrow"/>
      <family val="2"/>
    </font>
    <font>
      <b/>
      <i/>
      <sz val="8"/>
      <color indexed="8"/>
      <name val="Arial Narrow"/>
      <family val="2"/>
    </font>
    <font>
      <b/>
      <i/>
      <sz val="8"/>
      <color theme="1"/>
      <name val="Arial Narrow"/>
      <family val="2"/>
    </font>
    <font>
      <b/>
      <sz val="8"/>
      <name val="Arial Narrow"/>
      <family val="2"/>
    </font>
    <font>
      <b/>
      <sz val="8"/>
      <color theme="0"/>
      <name val="Arial Narrow"/>
      <family val="2"/>
    </font>
    <font>
      <sz val="11"/>
      <color theme="1"/>
      <name val="Calibri"/>
      <family val="2"/>
    </font>
    <font>
      <sz val="10"/>
      <name val="Arial"/>
      <family val="2"/>
    </font>
    <font>
      <sz val="10"/>
      <color theme="1"/>
      <name val="Arial Narrow"/>
      <family val="2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color theme="1"/>
      <name val="Arial Narrow"/>
      <family val="2"/>
    </font>
    <font>
      <sz val="11"/>
      <color rgb="FFFF0000"/>
      <name val="Calibri"/>
      <family val="2"/>
      <scheme val="minor"/>
    </font>
    <font>
      <b/>
      <sz val="8"/>
      <color indexed="8"/>
      <name val="Arial Narrow"/>
      <family val="2"/>
    </font>
    <font>
      <sz val="11"/>
      <color theme="1"/>
      <name val="Arial Narrow"/>
      <family val="2"/>
    </font>
    <font>
      <b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u/>
      <sz val="20"/>
      <color theme="0"/>
      <name val="Calibri"/>
      <family val="2"/>
      <scheme val="minor"/>
    </font>
    <font>
      <b/>
      <sz val="9"/>
      <color theme="0"/>
      <name val="Arial Narrow"/>
      <family val="2"/>
    </font>
    <font>
      <b/>
      <sz val="14"/>
      <color theme="0"/>
      <name val="Arial Narrow"/>
      <family val="2"/>
    </font>
    <font>
      <b/>
      <sz val="8"/>
      <color rgb="FFFFFF00"/>
      <name val="Arial Narrow"/>
      <family val="2"/>
    </font>
    <font>
      <sz val="10"/>
      <name val="Calibri"/>
      <family val="2"/>
    </font>
    <font>
      <sz val="8"/>
      <name val="Calibri"/>
      <family val="2"/>
      <scheme val="minor"/>
    </font>
    <font>
      <sz val="11"/>
      <color theme="1"/>
      <name val="Arial Narrow"/>
      <family val="2"/>
    </font>
    <font>
      <b/>
      <sz val="8"/>
      <color rgb="FFFFFF00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 Narrow"/>
    </font>
    <font>
      <b/>
      <sz val="10"/>
      <color theme="1"/>
      <name val="Arial Narrow"/>
    </font>
    <font>
      <b/>
      <sz val="10"/>
      <color theme="0"/>
      <name val="Arial Narrow"/>
    </font>
    <font>
      <sz val="11"/>
      <color theme="1"/>
      <name val="Arial Narrow"/>
    </font>
  </fonts>
  <fills count="19">
    <fill>
      <patternFill patternType="none"/>
    </fill>
    <fill>
      <patternFill patternType="gray125"/>
    </fill>
    <fill>
      <patternFill patternType="solid">
        <fgColor rgb="FF7AB8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theme="4"/>
      </patternFill>
    </fill>
    <fill>
      <patternFill patternType="solid">
        <fgColor rgb="FF002060"/>
        <bgColor indexed="64"/>
      </patternFill>
    </fill>
    <fill>
      <patternFill patternType="solid">
        <fgColor rgb="FF002060"/>
        <bgColor theme="4"/>
      </patternFill>
    </fill>
    <fill>
      <patternFill patternType="solid">
        <fgColor rgb="FF00B050"/>
        <bgColor theme="8" tint="-0.249977111117893"/>
      </patternFill>
    </fill>
    <fill>
      <patternFill patternType="solid">
        <fgColor rgb="FFFFC000"/>
        <bgColor theme="8" tint="-0.249977111117893"/>
      </patternFill>
    </fill>
    <fill>
      <patternFill patternType="solid">
        <fgColor rgb="FF002060"/>
        <bgColor theme="8" tint="-0.249977111117893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3999755851924192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double">
        <color rgb="FF002060"/>
      </top>
      <bottom style="double">
        <color rgb="FF002060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7">
    <xf numFmtId="0" fontId="0" fillId="0" borderId="0"/>
    <xf numFmtId="165" fontId="1" fillId="0" borderId="0" applyFont="0" applyFill="0" applyBorder="0" applyAlignment="0" applyProtection="0"/>
    <xf numFmtId="0" fontId="9" fillId="0" borderId="0"/>
    <xf numFmtId="0" fontId="10" fillId="0" borderId="0"/>
    <xf numFmtId="0" fontId="1" fillId="0" borderId="0"/>
    <xf numFmtId="0" fontId="10" fillId="0" borderId="0"/>
    <xf numFmtId="167" fontId="10" fillId="0" borderId="0"/>
    <xf numFmtId="0" fontId="1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28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81">
    <xf numFmtId="0" fontId="0" fillId="0" borderId="0" xfId="0"/>
    <xf numFmtId="164" fontId="7" fillId="2" borderId="4" xfId="0" applyNumberFormat="1" applyFont="1" applyFill="1" applyBorder="1" applyAlignment="1">
      <alignment horizontal="center" vertical="center" wrapText="1"/>
    </xf>
    <xf numFmtId="0" fontId="8" fillId="3" borderId="4" xfId="2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2" xfId="0" quotePrefix="1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12" fillId="4" borderId="0" xfId="0" quotePrefix="1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0" fillId="0" borderId="0" xfId="0" quotePrefix="1" applyAlignment="1">
      <alignment vertical="center"/>
    </xf>
    <xf numFmtId="2" fontId="15" fillId="0" borderId="0" xfId="0" applyNumberFormat="1" applyFont="1" applyAlignment="1">
      <alignment horizontal="center" vertical="center"/>
    </xf>
    <xf numFmtId="168" fontId="15" fillId="0" borderId="0" xfId="1" applyNumberFormat="1" applyFont="1" applyFill="1" applyAlignment="1">
      <alignment vertical="center"/>
    </xf>
    <xf numFmtId="168" fontId="11" fillId="0" borderId="0" xfId="0" applyNumberFormat="1" applyFont="1" applyAlignment="1">
      <alignment vertical="center"/>
    </xf>
    <xf numFmtId="169" fontId="15" fillId="0" borderId="0" xfId="0" applyNumberFormat="1" applyFont="1" applyAlignment="1" applyProtection="1">
      <alignment horizontal="center" vertical="center"/>
      <protection locked="0"/>
    </xf>
    <xf numFmtId="0" fontId="13" fillId="4" borderId="8" xfId="0" quotePrefix="1" applyFont="1" applyFill="1" applyBorder="1" applyAlignment="1">
      <alignment horizontal="center" vertical="center"/>
    </xf>
    <xf numFmtId="0" fontId="12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0" fillId="4" borderId="8" xfId="0" applyFill="1" applyBorder="1" applyAlignment="1">
      <alignment vertical="center"/>
    </xf>
    <xf numFmtId="0" fontId="13" fillId="4" borderId="0" xfId="0" applyFont="1" applyFill="1" applyAlignment="1">
      <alignment vertical="center"/>
    </xf>
    <xf numFmtId="168" fontId="0" fillId="4" borderId="0" xfId="1" applyNumberFormat="1" applyFont="1" applyFill="1" applyAlignment="1">
      <alignment vertical="center"/>
    </xf>
    <xf numFmtId="168" fontId="12" fillId="4" borderId="13" xfId="1" applyNumberFormat="1" applyFont="1" applyFill="1" applyBorder="1" applyAlignment="1">
      <alignment vertical="center"/>
    </xf>
    <xf numFmtId="168" fontId="14" fillId="4" borderId="0" xfId="1" applyNumberFormat="1" applyFont="1" applyFill="1" applyAlignment="1">
      <alignment vertical="center"/>
    </xf>
    <xf numFmtId="0" fontId="14" fillId="4" borderId="0" xfId="0" applyFont="1" applyFill="1" applyAlignment="1">
      <alignment vertical="center"/>
    </xf>
    <xf numFmtId="168" fontId="14" fillId="4" borderId="0" xfId="0" applyNumberFormat="1" applyFont="1" applyFill="1" applyAlignment="1">
      <alignment vertical="center"/>
    </xf>
    <xf numFmtId="168" fontId="0" fillId="4" borderId="0" xfId="0" applyNumberFormat="1" applyFill="1" applyAlignment="1">
      <alignment vertical="center"/>
    </xf>
    <xf numFmtId="165" fontId="0" fillId="4" borderId="0" xfId="1" applyFont="1" applyFill="1" applyAlignment="1">
      <alignment vertical="center"/>
    </xf>
    <xf numFmtId="168" fontId="0" fillId="0" borderId="0" xfId="1" applyNumberFormat="1" applyFont="1" applyAlignment="1">
      <alignment vertical="center"/>
    </xf>
    <xf numFmtId="165" fontId="15" fillId="0" borderId="0" xfId="1" applyFont="1" applyFill="1" applyAlignment="1">
      <alignment vertical="center"/>
    </xf>
    <xf numFmtId="165" fontId="0" fillId="0" borderId="0" xfId="1" applyFont="1" applyAlignment="1">
      <alignment vertical="center"/>
    </xf>
    <xf numFmtId="2" fontId="18" fillId="0" borderId="0" xfId="0" applyNumberFormat="1" applyFont="1" applyAlignment="1">
      <alignment horizontal="center" vertical="center"/>
    </xf>
    <xf numFmtId="165" fontId="0" fillId="0" borderId="0" xfId="1" applyFont="1" applyFill="1" applyAlignment="1">
      <alignment vertical="center"/>
    </xf>
    <xf numFmtId="169" fontId="18" fillId="0" borderId="0" xfId="0" applyNumberFormat="1" applyFont="1" applyAlignment="1" applyProtection="1">
      <alignment horizontal="center" vertical="center"/>
      <protection locked="0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165" fontId="18" fillId="0" borderId="0" xfId="1" applyFont="1" applyFill="1" applyAlignment="1">
      <alignment vertical="center"/>
    </xf>
    <xf numFmtId="168" fontId="18" fillId="0" borderId="0" xfId="1" applyNumberFormat="1" applyFont="1" applyFill="1" applyAlignment="1">
      <alignment vertical="center"/>
    </xf>
    <xf numFmtId="44" fontId="15" fillId="0" borderId="0" xfId="0" applyNumberFormat="1" applyFont="1" applyAlignment="1">
      <alignment vertical="center"/>
    </xf>
    <xf numFmtId="43" fontId="0" fillId="0" borderId="0" xfId="0" applyNumberFormat="1" applyAlignment="1">
      <alignment vertical="center"/>
    </xf>
    <xf numFmtId="168" fontId="1" fillId="4" borderId="0" xfId="1" applyNumberFormat="1" applyFont="1" applyFill="1" applyAlignment="1">
      <alignment horizontal="center" vertical="center" wrapText="1"/>
    </xf>
    <xf numFmtId="168" fontId="0" fillId="4" borderId="0" xfId="1" quotePrefix="1" applyNumberFormat="1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168" fontId="12" fillId="4" borderId="0" xfId="0" applyNumberFormat="1" applyFont="1" applyFill="1" applyAlignment="1">
      <alignment horizontal="center" vertical="center" wrapText="1"/>
    </xf>
    <xf numFmtId="168" fontId="0" fillId="4" borderId="0" xfId="1" applyNumberFormat="1" applyFont="1" applyFill="1" applyAlignment="1">
      <alignment horizontal="center" vertical="center" wrapText="1"/>
    </xf>
    <xf numFmtId="168" fontId="12" fillId="4" borderId="0" xfId="1" applyNumberFormat="1" applyFont="1" applyFill="1" applyAlignment="1">
      <alignment horizontal="center" vertical="center"/>
    </xf>
    <xf numFmtId="168" fontId="1" fillId="4" borderId="0" xfId="1" applyNumberFormat="1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13" fillId="0" borderId="0" xfId="0" applyFont="1"/>
    <xf numFmtId="0" fontId="12" fillId="0" borderId="0" xfId="0" applyFont="1" applyAlignment="1">
      <alignment horizontal="center" vertical="center" wrapText="1"/>
    </xf>
    <xf numFmtId="168" fontId="0" fillId="0" borderId="0" xfId="1" applyNumberFormat="1" applyFont="1"/>
    <xf numFmtId="168" fontId="12" fillId="0" borderId="19" xfId="0" applyNumberFormat="1" applyFont="1" applyBorder="1"/>
    <xf numFmtId="168" fontId="16" fillId="0" borderId="0" xfId="0" applyNumberFormat="1" applyFont="1"/>
    <xf numFmtId="168" fontId="16" fillId="0" borderId="19" xfId="0" applyNumberFormat="1" applyFont="1" applyBorder="1"/>
    <xf numFmtId="0" fontId="12" fillId="0" borderId="1" xfId="0" applyFont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8" xfId="0" applyBorder="1"/>
    <xf numFmtId="0" fontId="20" fillId="0" borderId="24" xfId="0" applyFont="1" applyBorder="1"/>
    <xf numFmtId="168" fontId="0" fillId="0" borderId="27" xfId="1" applyNumberFormat="1" applyFont="1" applyBorder="1"/>
    <xf numFmtId="168" fontId="0" fillId="0" borderId="23" xfId="1" applyNumberFormat="1" applyFont="1" applyBorder="1"/>
    <xf numFmtId="0" fontId="2" fillId="5" borderId="1" xfId="0" applyFont="1" applyFill="1" applyBorder="1" applyAlignment="1" applyProtection="1">
      <alignment horizontal="left" vertical="center" wrapText="1"/>
      <protection locked="0"/>
    </xf>
    <xf numFmtId="166" fontId="3" fillId="5" borderId="1" xfId="0" applyNumberFormat="1" applyFont="1" applyFill="1" applyBorder="1" applyAlignment="1" applyProtection="1">
      <alignment horizontal="left" vertical="center"/>
      <protection locked="0"/>
    </xf>
    <xf numFmtId="0" fontId="2" fillId="5" borderId="32" xfId="0" applyFont="1" applyFill="1" applyBorder="1" applyAlignment="1" applyProtection="1">
      <alignment horizontal="center" vertical="center" wrapText="1"/>
      <protection locked="0"/>
    </xf>
    <xf numFmtId="0" fontId="2" fillId="5" borderId="33" xfId="0" applyFont="1" applyFill="1" applyBorder="1" applyAlignment="1" applyProtection="1">
      <alignment horizontal="left" vertical="center" wrapText="1"/>
      <protection locked="0"/>
    </xf>
    <xf numFmtId="0" fontId="4" fillId="5" borderId="35" xfId="0" applyFont="1" applyFill="1" applyBorder="1" applyAlignment="1" applyProtection="1">
      <alignment horizontal="left" vertical="center" wrapText="1"/>
      <protection locked="0"/>
    </xf>
    <xf numFmtId="0" fontId="17" fillId="5" borderId="36" xfId="0" applyFont="1" applyFill="1" applyBorder="1" applyAlignment="1" applyProtection="1">
      <alignment horizontal="center" vertical="center" wrapText="1"/>
      <protection locked="0"/>
    </xf>
    <xf numFmtId="0" fontId="5" fillId="5" borderId="37" xfId="0" applyFont="1" applyFill="1" applyBorder="1" applyAlignment="1" applyProtection="1">
      <alignment horizontal="center" vertical="center" wrapText="1"/>
      <protection locked="0"/>
    </xf>
    <xf numFmtId="0" fontId="8" fillId="6" borderId="4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164" fontId="8" fillId="5" borderId="4" xfId="0" applyNumberFormat="1" applyFont="1" applyFill="1" applyBorder="1" applyAlignment="1">
      <alignment horizontal="center" vertical="center" wrapText="1"/>
    </xf>
    <xf numFmtId="165" fontId="8" fillId="5" borderId="0" xfId="1" applyFont="1" applyFill="1" applyBorder="1" applyAlignment="1">
      <alignment horizontal="center" vertical="center" wrapText="1"/>
    </xf>
    <xf numFmtId="168" fontId="8" fillId="7" borderId="4" xfId="1" applyNumberFormat="1" applyFont="1" applyFill="1" applyBorder="1" applyAlignment="1">
      <alignment horizontal="center" vertical="center" wrapText="1"/>
    </xf>
    <xf numFmtId="165" fontId="8" fillId="8" borderId="4" xfId="0" applyNumberFormat="1" applyFont="1" applyFill="1" applyBorder="1" applyAlignment="1">
      <alignment horizontal="center" vertical="center" wrapText="1"/>
    </xf>
    <xf numFmtId="164" fontId="8" fillId="8" borderId="4" xfId="0" applyNumberFormat="1" applyFont="1" applyFill="1" applyBorder="1" applyAlignment="1">
      <alignment horizontal="center" vertical="center" wrapText="1"/>
    </xf>
    <xf numFmtId="164" fontId="8" fillId="7" borderId="4" xfId="0" applyNumberFormat="1" applyFont="1" applyFill="1" applyBorder="1" applyAlignment="1">
      <alignment horizontal="center" vertical="center" wrapText="1"/>
    </xf>
    <xf numFmtId="165" fontId="8" fillId="7" borderId="4" xfId="1" applyFont="1" applyFill="1" applyBorder="1" applyAlignment="1">
      <alignment horizontal="center" vertical="center" wrapText="1"/>
    </xf>
    <xf numFmtId="164" fontId="25" fillId="7" borderId="4" xfId="0" applyNumberFormat="1" applyFont="1" applyFill="1" applyBorder="1" applyAlignment="1">
      <alignment horizontal="center" vertical="center" wrapText="1"/>
    </xf>
    <xf numFmtId="0" fontId="8" fillId="7" borderId="4" xfId="0" applyFont="1" applyFill="1" applyBorder="1" applyAlignment="1">
      <alignment horizontal="center" vertical="center" wrapText="1"/>
    </xf>
    <xf numFmtId="164" fontId="8" fillId="7" borderId="0" xfId="0" applyNumberFormat="1" applyFont="1" applyFill="1" applyAlignment="1">
      <alignment horizontal="center" vertical="center" wrapText="1"/>
    </xf>
    <xf numFmtId="164" fontId="25" fillId="7" borderId="0" xfId="0" applyNumberFormat="1" applyFont="1" applyFill="1" applyAlignment="1">
      <alignment horizontal="center" vertical="center" wrapText="1"/>
    </xf>
    <xf numFmtId="164" fontId="8" fillId="8" borderId="0" xfId="0" applyNumberFormat="1" applyFont="1" applyFill="1" applyAlignment="1">
      <alignment horizontal="center" vertical="center" wrapText="1"/>
    </xf>
    <xf numFmtId="0" fontId="8" fillId="7" borderId="0" xfId="0" applyFont="1" applyFill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0" fillId="5" borderId="16" xfId="0" applyFill="1" applyBorder="1" applyAlignment="1">
      <alignment vertical="center"/>
    </xf>
    <xf numFmtId="0" fontId="0" fillId="5" borderId="17" xfId="0" applyFill="1" applyBorder="1" applyAlignment="1">
      <alignment vertical="center"/>
    </xf>
    <xf numFmtId="0" fontId="22" fillId="5" borderId="15" xfId="0" applyFont="1" applyFill="1" applyBorder="1" applyAlignment="1">
      <alignment vertical="center"/>
    </xf>
    <xf numFmtId="0" fontId="18" fillId="12" borderId="0" xfId="0" applyFont="1" applyFill="1" applyAlignment="1">
      <alignment vertical="center"/>
    </xf>
    <xf numFmtId="0" fontId="18" fillId="12" borderId="0" xfId="0" applyFont="1" applyFill="1" applyAlignment="1">
      <alignment horizontal="center" vertical="center"/>
    </xf>
    <xf numFmtId="0" fontId="15" fillId="12" borderId="0" xfId="0" applyFont="1" applyFill="1" applyAlignment="1">
      <alignment horizontal="center" vertical="center"/>
    </xf>
    <xf numFmtId="0" fontId="15" fillId="12" borderId="0" xfId="0" applyFont="1" applyFill="1" applyAlignment="1">
      <alignment vertical="center"/>
    </xf>
    <xf numFmtId="0" fontId="15" fillId="12" borderId="0" xfId="0" applyFont="1" applyFill="1" applyAlignment="1">
      <alignment horizontal="left" vertical="center"/>
    </xf>
    <xf numFmtId="165" fontId="18" fillId="12" borderId="0" xfId="1" applyFont="1" applyFill="1" applyAlignment="1">
      <alignment vertical="center"/>
    </xf>
    <xf numFmtId="169" fontId="18" fillId="12" borderId="0" xfId="0" applyNumberFormat="1" applyFont="1" applyFill="1" applyAlignment="1" applyProtection="1">
      <alignment horizontal="center" vertical="center"/>
      <protection locked="0"/>
    </xf>
    <xf numFmtId="169" fontId="15" fillId="12" borderId="0" xfId="0" applyNumberFormat="1" applyFont="1" applyFill="1" applyAlignment="1" applyProtection="1">
      <alignment horizontal="center" vertical="center"/>
      <protection locked="0"/>
    </xf>
    <xf numFmtId="44" fontId="15" fillId="12" borderId="0" xfId="0" applyNumberFormat="1" applyFont="1" applyFill="1" applyAlignment="1">
      <alignment vertical="center"/>
    </xf>
    <xf numFmtId="2" fontId="18" fillId="12" borderId="0" xfId="0" applyNumberFormat="1" applyFont="1" applyFill="1" applyAlignment="1">
      <alignment horizontal="center" vertical="center"/>
    </xf>
    <xf numFmtId="168" fontId="18" fillId="12" borderId="0" xfId="1" applyNumberFormat="1" applyFont="1" applyFill="1" applyAlignment="1">
      <alignment vertical="center"/>
    </xf>
    <xf numFmtId="168" fontId="15" fillId="12" borderId="0" xfId="1" applyNumberFormat="1" applyFont="1" applyFill="1" applyAlignment="1">
      <alignment vertical="center"/>
    </xf>
    <xf numFmtId="165" fontId="15" fillId="12" borderId="0" xfId="1" applyFont="1" applyFill="1" applyAlignment="1">
      <alignment vertical="center"/>
    </xf>
    <xf numFmtId="0" fontId="0" fillId="12" borderId="0" xfId="0" applyFill="1" applyAlignment="1">
      <alignment vertical="center"/>
    </xf>
    <xf numFmtId="0" fontId="0" fillId="12" borderId="0" xfId="0" applyFill="1"/>
    <xf numFmtId="0" fontId="18" fillId="13" borderId="0" xfId="0" applyFont="1" applyFill="1" applyAlignment="1">
      <alignment vertical="center"/>
    </xf>
    <xf numFmtId="0" fontId="18" fillId="13" borderId="0" xfId="0" applyFont="1" applyFill="1" applyAlignment="1">
      <alignment horizontal="center" vertical="center"/>
    </xf>
    <xf numFmtId="0" fontId="15" fillId="13" borderId="0" xfId="0" applyFont="1" applyFill="1" applyAlignment="1">
      <alignment horizontal="center" vertical="center"/>
    </xf>
    <xf numFmtId="0" fontId="15" fillId="13" borderId="0" xfId="0" applyFont="1" applyFill="1" applyAlignment="1">
      <alignment vertical="center"/>
    </xf>
    <xf numFmtId="0" fontId="15" fillId="13" borderId="0" xfId="0" applyFont="1" applyFill="1" applyAlignment="1">
      <alignment horizontal="left" vertical="center"/>
    </xf>
    <xf numFmtId="165" fontId="18" fillId="13" borderId="0" xfId="1" applyFont="1" applyFill="1" applyAlignment="1">
      <alignment vertical="center"/>
    </xf>
    <xf numFmtId="169" fontId="18" fillId="13" borderId="0" xfId="0" applyNumberFormat="1" applyFont="1" applyFill="1" applyAlignment="1" applyProtection="1">
      <alignment horizontal="center" vertical="center"/>
      <protection locked="0"/>
    </xf>
    <xf numFmtId="169" fontId="15" fillId="13" borderId="0" xfId="0" applyNumberFormat="1" applyFont="1" applyFill="1" applyAlignment="1" applyProtection="1">
      <alignment horizontal="center" vertical="center"/>
      <protection locked="0"/>
    </xf>
    <xf numFmtId="44" fontId="15" fillId="13" borderId="0" xfId="0" applyNumberFormat="1" applyFont="1" applyFill="1" applyAlignment="1">
      <alignment vertical="center"/>
    </xf>
    <xf numFmtId="2" fontId="18" fillId="13" borderId="0" xfId="0" applyNumberFormat="1" applyFont="1" applyFill="1" applyAlignment="1">
      <alignment horizontal="center" vertical="center"/>
    </xf>
    <xf numFmtId="168" fontId="18" fillId="13" borderId="0" xfId="1" applyNumberFormat="1" applyFont="1" applyFill="1" applyAlignment="1">
      <alignment vertical="center"/>
    </xf>
    <xf numFmtId="168" fontId="15" fillId="13" borderId="0" xfId="1" applyNumberFormat="1" applyFont="1" applyFill="1" applyAlignment="1">
      <alignment vertical="center"/>
    </xf>
    <xf numFmtId="165" fontId="15" fillId="13" borderId="0" xfId="1" applyFont="1" applyFill="1" applyAlignment="1">
      <alignment vertical="center"/>
    </xf>
    <xf numFmtId="0" fontId="0" fillId="13" borderId="0" xfId="0" applyFill="1"/>
    <xf numFmtId="0" fontId="0" fillId="13" borderId="0" xfId="0" applyFill="1" applyAlignment="1">
      <alignment vertical="center"/>
    </xf>
    <xf numFmtId="168" fontId="0" fillId="0" borderId="0" xfId="0" applyNumberFormat="1"/>
    <xf numFmtId="168" fontId="12" fillId="4" borderId="19" xfId="0" applyNumberFormat="1" applyFont="1" applyFill="1" applyBorder="1" applyAlignment="1">
      <alignment vertical="center"/>
    </xf>
    <xf numFmtId="165" fontId="15" fillId="0" borderId="0" xfId="0" applyNumberFormat="1" applyFont="1" applyAlignment="1">
      <alignment vertical="center"/>
    </xf>
    <xf numFmtId="169" fontId="15" fillId="0" borderId="0" xfId="0" applyNumberFormat="1" applyFont="1" applyAlignment="1">
      <alignment horizontal="center" vertical="center"/>
    </xf>
    <xf numFmtId="168" fontId="15" fillId="0" borderId="0" xfId="0" applyNumberFormat="1" applyFont="1" applyAlignment="1">
      <alignment vertical="center"/>
    </xf>
    <xf numFmtId="0" fontId="26" fillId="5" borderId="31" xfId="0" applyFont="1" applyFill="1" applyBorder="1" applyAlignment="1" applyProtection="1">
      <alignment horizontal="left" vertical="center" wrapText="1"/>
      <protection locked="0"/>
    </xf>
    <xf numFmtId="0" fontId="27" fillId="14" borderId="0" xfId="0" applyFont="1" applyFill="1" applyAlignment="1">
      <alignment horizontal="center" vertical="center" wrapText="1"/>
    </xf>
    <xf numFmtId="0" fontId="8" fillId="3" borderId="0" xfId="2" applyFont="1" applyFill="1" applyAlignment="1">
      <alignment horizontal="center" vertical="center" wrapText="1"/>
    </xf>
    <xf numFmtId="168" fontId="0" fillId="0" borderId="0" xfId="0" applyNumberFormat="1" applyAlignment="1">
      <alignment vertical="center"/>
    </xf>
    <xf numFmtId="164" fontId="8" fillId="5" borderId="0" xfId="0" applyNumberFormat="1" applyFont="1" applyFill="1" applyAlignment="1">
      <alignment horizontal="center" vertical="center" wrapText="1"/>
    </xf>
    <xf numFmtId="15" fontId="0" fillId="0" borderId="0" xfId="0" applyNumberFormat="1" applyAlignment="1">
      <alignment vertical="center"/>
    </xf>
    <xf numFmtId="2" fontId="15" fillId="0" borderId="0" xfId="0" applyNumberFormat="1" applyFont="1" applyAlignment="1">
      <alignment horizontal="left" vertical="top"/>
    </xf>
    <xf numFmtId="9" fontId="15" fillId="0" borderId="0" xfId="0" applyNumberFormat="1" applyFont="1" applyAlignment="1">
      <alignment horizontal="center" vertical="center"/>
    </xf>
    <xf numFmtId="168" fontId="30" fillId="0" borderId="0" xfId="0" applyNumberFormat="1" applyFont="1" applyAlignment="1">
      <alignment vertical="center"/>
    </xf>
    <xf numFmtId="0" fontId="31" fillId="14" borderId="0" xfId="0" applyFont="1" applyFill="1" applyAlignment="1">
      <alignment horizontal="center" vertical="center" wrapText="1"/>
    </xf>
    <xf numFmtId="0" fontId="2" fillId="5" borderId="30" xfId="0" applyFont="1" applyFill="1" applyBorder="1" applyAlignment="1" applyProtection="1">
      <alignment horizontal="left" vertical="top" wrapText="1"/>
      <protection locked="0"/>
    </xf>
    <xf numFmtId="0" fontId="0" fillId="15" borderId="4" xfId="0" applyFill="1" applyBorder="1"/>
    <xf numFmtId="0" fontId="0" fillId="0" borderId="4" xfId="0" applyBorder="1"/>
    <xf numFmtId="165" fontId="8" fillId="5" borderId="4" xfId="1" applyFont="1" applyFill="1" applyBorder="1" applyAlignment="1">
      <alignment horizontal="center" vertical="center" wrapText="1"/>
    </xf>
    <xf numFmtId="0" fontId="27" fillId="14" borderId="4" xfId="0" applyFont="1" applyFill="1" applyBorder="1" applyAlignment="1">
      <alignment horizontal="center" vertical="center" wrapText="1"/>
    </xf>
    <xf numFmtId="0" fontId="27" fillId="14" borderId="42" xfId="0" applyFont="1" applyFill="1" applyBorder="1" applyAlignment="1">
      <alignment horizontal="center" vertical="center" wrapText="1"/>
    </xf>
    <xf numFmtId="0" fontId="15" fillId="15" borderId="3" xfId="0" applyFont="1" applyFill="1" applyBorder="1" applyAlignment="1">
      <alignment horizontal="center" vertical="center"/>
    </xf>
    <xf numFmtId="0" fontId="15" fillId="15" borderId="4" xfId="0" applyFont="1" applyFill="1" applyBorder="1" applyAlignment="1">
      <alignment horizontal="center" vertical="center"/>
    </xf>
    <xf numFmtId="0" fontId="15" fillId="15" borderId="4" xfId="0" applyFont="1" applyFill="1" applyBorder="1" applyAlignment="1">
      <alignment vertical="center"/>
    </xf>
    <xf numFmtId="0" fontId="15" fillId="15" borderId="4" xfId="0" applyFont="1" applyFill="1" applyBorder="1" applyAlignment="1">
      <alignment horizontal="left" vertical="center"/>
    </xf>
    <xf numFmtId="0" fontId="0" fillId="15" borderId="4" xfId="0" applyFill="1" applyBorder="1" applyAlignment="1">
      <alignment vertical="center"/>
    </xf>
    <xf numFmtId="165" fontId="15" fillId="15" borderId="4" xfId="1" applyFont="1" applyFill="1" applyBorder="1" applyAlignment="1">
      <alignment vertical="center"/>
    </xf>
    <xf numFmtId="15" fontId="0" fillId="15" borderId="4" xfId="0" applyNumberFormat="1" applyFill="1" applyBorder="1" applyAlignment="1">
      <alignment vertical="center"/>
    </xf>
    <xf numFmtId="169" fontId="15" fillId="15" borderId="4" xfId="0" applyNumberFormat="1" applyFont="1" applyFill="1" applyBorder="1" applyAlignment="1">
      <alignment horizontal="center" vertical="center"/>
    </xf>
    <xf numFmtId="44" fontId="15" fillId="15" borderId="4" xfId="0" applyNumberFormat="1" applyFont="1" applyFill="1" applyBorder="1" applyAlignment="1">
      <alignment vertical="center"/>
    </xf>
    <xf numFmtId="9" fontId="15" fillId="15" borderId="4" xfId="0" applyNumberFormat="1" applyFont="1" applyFill="1" applyBorder="1" applyAlignment="1">
      <alignment horizontal="center" vertical="center"/>
    </xf>
    <xf numFmtId="2" fontId="15" fillId="15" borderId="4" xfId="0" applyNumberFormat="1" applyFont="1" applyFill="1" applyBorder="1" applyAlignment="1">
      <alignment horizontal="center" vertical="center"/>
    </xf>
    <xf numFmtId="2" fontId="15" fillId="15" borderId="4" xfId="0" applyNumberFormat="1" applyFont="1" applyFill="1" applyBorder="1" applyAlignment="1">
      <alignment horizontal="left" vertical="top"/>
    </xf>
    <xf numFmtId="168" fontId="15" fillId="15" borderId="4" xfId="1" applyNumberFormat="1" applyFont="1" applyFill="1" applyBorder="1" applyAlignment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vertical="center"/>
    </xf>
    <xf numFmtId="0" fontId="15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165" fontId="15" fillId="0" borderId="4" xfId="1" applyFont="1" applyBorder="1" applyAlignment="1">
      <alignment vertical="center"/>
    </xf>
    <xf numFmtId="15" fontId="0" fillId="0" borderId="4" xfId="0" applyNumberFormat="1" applyBorder="1" applyAlignment="1">
      <alignment vertical="center"/>
    </xf>
    <xf numFmtId="169" fontId="15" fillId="0" borderId="4" xfId="0" applyNumberFormat="1" applyFont="1" applyBorder="1" applyAlignment="1">
      <alignment horizontal="center" vertical="center"/>
    </xf>
    <xf numFmtId="44" fontId="15" fillId="0" borderId="4" xfId="0" applyNumberFormat="1" applyFont="1" applyBorder="1" applyAlignment="1">
      <alignment vertical="center"/>
    </xf>
    <xf numFmtId="9" fontId="15" fillId="0" borderId="4" xfId="0" applyNumberFormat="1" applyFont="1" applyBorder="1" applyAlignment="1">
      <alignment horizontal="center" vertical="center"/>
    </xf>
    <xf numFmtId="2" fontId="15" fillId="0" borderId="4" xfId="0" applyNumberFormat="1" applyFont="1" applyBorder="1" applyAlignment="1">
      <alignment horizontal="center" vertical="center"/>
    </xf>
    <xf numFmtId="2" fontId="15" fillId="0" borderId="4" xfId="0" applyNumberFormat="1" applyFont="1" applyBorder="1" applyAlignment="1">
      <alignment horizontal="left" vertical="top"/>
    </xf>
    <xf numFmtId="168" fontId="15" fillId="0" borderId="4" xfId="1" applyNumberFormat="1" applyFont="1" applyBorder="1" applyAlignment="1">
      <alignment vertical="center"/>
    </xf>
    <xf numFmtId="168" fontId="15" fillId="15" borderId="42" xfId="0" applyNumberFormat="1" applyFont="1" applyFill="1" applyBorder="1" applyAlignment="1">
      <alignment vertical="center"/>
    </xf>
    <xf numFmtId="168" fontId="15" fillId="0" borderId="42" xfId="0" applyNumberFormat="1" applyFont="1" applyBorder="1" applyAlignment="1">
      <alignment vertical="center"/>
    </xf>
    <xf numFmtId="1" fontId="15" fillId="0" borderId="0" xfId="0" applyNumberFormat="1" applyFont="1" applyAlignment="1">
      <alignment horizontal="center" vertical="center"/>
    </xf>
    <xf numFmtId="168" fontId="15" fillId="0" borderId="4" xfId="0" applyNumberFormat="1" applyFont="1" applyBorder="1" applyAlignment="1">
      <alignment vertical="center"/>
    </xf>
    <xf numFmtId="168" fontId="15" fillId="15" borderId="4" xfId="0" applyNumberFormat="1" applyFont="1" applyFill="1" applyBorder="1" applyAlignment="1">
      <alignment vertical="center"/>
    </xf>
    <xf numFmtId="0" fontId="15" fillId="0" borderId="43" xfId="0" applyFont="1" applyBorder="1" applyAlignment="1">
      <alignment horizontal="center" vertical="center"/>
    </xf>
    <xf numFmtId="0" fontId="15" fillId="0" borderId="43" xfId="0" applyFont="1" applyBorder="1" applyAlignment="1">
      <alignment vertical="center"/>
    </xf>
    <xf numFmtId="0" fontId="15" fillId="0" borderId="43" xfId="0" applyFont="1" applyBorder="1" applyAlignment="1">
      <alignment horizontal="left" vertical="center"/>
    </xf>
    <xf numFmtId="0" fontId="0" fillId="0" borderId="43" xfId="0" applyBorder="1" applyAlignment="1">
      <alignment vertical="center"/>
    </xf>
    <xf numFmtId="165" fontId="15" fillId="0" borderId="43" xfId="1" applyFont="1" applyBorder="1" applyAlignment="1">
      <alignment vertical="center"/>
    </xf>
    <xf numFmtId="15" fontId="0" fillId="0" borderId="43" xfId="0" applyNumberFormat="1" applyBorder="1" applyAlignment="1">
      <alignment vertical="center"/>
    </xf>
    <xf numFmtId="169" fontId="15" fillId="0" borderId="43" xfId="0" applyNumberFormat="1" applyFont="1" applyBorder="1" applyAlignment="1">
      <alignment horizontal="center" vertical="center"/>
    </xf>
    <xf numFmtId="44" fontId="15" fillId="0" borderId="43" xfId="0" applyNumberFormat="1" applyFont="1" applyBorder="1" applyAlignment="1">
      <alignment vertical="center"/>
    </xf>
    <xf numFmtId="9" fontId="15" fillId="0" borderId="43" xfId="0" applyNumberFormat="1" applyFont="1" applyBorder="1" applyAlignment="1">
      <alignment horizontal="center" vertical="center"/>
    </xf>
    <xf numFmtId="2" fontId="15" fillId="0" borderId="43" xfId="0" applyNumberFormat="1" applyFont="1" applyBorder="1" applyAlignment="1">
      <alignment horizontal="center" vertical="center"/>
    </xf>
    <xf numFmtId="2" fontId="15" fillId="0" borderId="43" xfId="0" applyNumberFormat="1" applyFont="1" applyBorder="1" applyAlignment="1">
      <alignment horizontal="left" vertical="top"/>
    </xf>
    <xf numFmtId="168" fontId="15" fillId="0" borderId="43" xfId="1" applyNumberFormat="1" applyFont="1" applyBorder="1" applyAlignment="1">
      <alignment vertical="center"/>
    </xf>
    <xf numFmtId="0" fontId="0" fillId="0" borderId="43" xfId="0" applyBorder="1"/>
    <xf numFmtId="168" fontId="15" fillId="0" borderId="43" xfId="0" applyNumberFormat="1" applyFont="1" applyBorder="1" applyAlignment="1">
      <alignment vertical="center"/>
    </xf>
    <xf numFmtId="0" fontId="8" fillId="5" borderId="18" xfId="0" applyFont="1" applyFill="1" applyBorder="1" applyAlignment="1">
      <alignment horizontal="center" vertical="center" wrapText="1"/>
    </xf>
    <xf numFmtId="0" fontId="8" fillId="6" borderId="18" xfId="0" applyFont="1" applyFill="1" applyBorder="1" applyAlignment="1">
      <alignment horizontal="center" vertical="center" wrapText="1"/>
    </xf>
    <xf numFmtId="164" fontId="8" fillId="5" borderId="18" xfId="0" applyNumberFormat="1" applyFont="1" applyFill="1" applyBorder="1" applyAlignment="1">
      <alignment horizontal="center" vertical="center" wrapText="1"/>
    </xf>
    <xf numFmtId="165" fontId="8" fillId="5" borderId="18" xfId="1" applyFont="1" applyFill="1" applyBorder="1" applyAlignment="1">
      <alignment horizontal="center" vertical="center" wrapText="1"/>
    </xf>
    <xf numFmtId="164" fontId="8" fillId="7" borderId="18" xfId="0" applyNumberFormat="1" applyFont="1" applyFill="1" applyBorder="1" applyAlignment="1">
      <alignment horizontal="center" vertical="center" wrapText="1"/>
    </xf>
    <xf numFmtId="164" fontId="25" fillId="7" borderId="18" xfId="0" applyNumberFormat="1" applyFont="1" applyFill="1" applyBorder="1" applyAlignment="1">
      <alignment horizontal="center" vertical="center" wrapText="1"/>
    </xf>
    <xf numFmtId="0" fontId="8" fillId="7" borderId="18" xfId="0" applyFont="1" applyFill="1" applyBorder="1" applyAlignment="1">
      <alignment horizontal="center" vertical="center" wrapText="1"/>
    </xf>
    <xf numFmtId="168" fontId="8" fillId="7" borderId="18" xfId="1" applyNumberFormat="1" applyFont="1" applyFill="1" applyBorder="1" applyAlignment="1">
      <alignment horizontal="center" vertical="center" wrapText="1"/>
    </xf>
    <xf numFmtId="165" fontId="8" fillId="8" borderId="18" xfId="0" applyNumberFormat="1" applyFont="1" applyFill="1" applyBorder="1" applyAlignment="1">
      <alignment horizontal="center" vertical="center" wrapText="1"/>
    </xf>
    <xf numFmtId="164" fontId="8" fillId="8" borderId="18" xfId="0" applyNumberFormat="1" applyFont="1" applyFill="1" applyBorder="1" applyAlignment="1">
      <alignment horizontal="center" vertical="center" wrapText="1"/>
    </xf>
    <xf numFmtId="165" fontId="8" fillId="7" borderId="18" xfId="1" applyFont="1" applyFill="1" applyBorder="1" applyAlignment="1">
      <alignment horizontal="center" vertical="center" wrapText="1"/>
    </xf>
    <xf numFmtId="164" fontId="7" fillId="2" borderId="18" xfId="0" applyNumberFormat="1" applyFont="1" applyFill="1" applyBorder="1" applyAlignment="1">
      <alignment horizontal="center" vertical="center" wrapText="1"/>
    </xf>
    <xf numFmtId="0" fontId="8" fillId="3" borderId="18" xfId="2" applyFont="1" applyFill="1" applyBorder="1" applyAlignment="1">
      <alignment horizontal="center" vertical="center" wrapText="1"/>
    </xf>
    <xf numFmtId="0" fontId="27" fillId="14" borderId="18" xfId="0" applyFont="1" applyFill="1" applyBorder="1" applyAlignment="1">
      <alignment horizontal="center" vertical="center" wrapText="1"/>
    </xf>
    <xf numFmtId="165" fontId="15" fillId="0" borderId="43" xfId="0" applyNumberFormat="1" applyFont="1" applyBorder="1" applyAlignment="1">
      <alignment vertical="center"/>
    </xf>
    <xf numFmtId="168" fontId="0" fillId="16" borderId="23" xfId="1" applyNumberFormat="1" applyFont="1" applyFill="1" applyBorder="1"/>
    <xf numFmtId="0" fontId="0" fillId="16" borderId="23" xfId="0" applyFill="1" applyBorder="1"/>
    <xf numFmtId="168" fontId="0" fillId="16" borderId="23" xfId="0" applyNumberFormat="1" applyFill="1" applyBorder="1"/>
    <xf numFmtId="168" fontId="0" fillId="0" borderId="23" xfId="1" applyNumberFormat="1" applyFont="1" applyFill="1" applyBorder="1"/>
    <xf numFmtId="6" fontId="15" fillId="0" borderId="0" xfId="0" applyNumberFormat="1" applyFont="1" applyAlignment="1">
      <alignment horizontal="center" vertical="center"/>
    </xf>
    <xf numFmtId="0" fontId="12" fillId="17" borderId="0" xfId="0" applyFont="1" applyFill="1" applyAlignment="1">
      <alignment vertical="center"/>
    </xf>
    <xf numFmtId="0" fontId="0" fillId="17" borderId="0" xfId="0" applyFill="1" applyAlignment="1">
      <alignment vertical="center"/>
    </xf>
    <xf numFmtId="165" fontId="0" fillId="17" borderId="0" xfId="1" applyFont="1" applyFill="1" applyAlignment="1">
      <alignment vertical="center"/>
    </xf>
    <xf numFmtId="0" fontId="12" fillId="17" borderId="0" xfId="0" applyFont="1" applyFill="1" applyAlignment="1">
      <alignment horizontal="center" vertical="center" wrapText="1"/>
    </xf>
    <xf numFmtId="168" fontId="12" fillId="17" borderId="0" xfId="0" applyNumberFormat="1" applyFont="1" applyFill="1" applyAlignment="1">
      <alignment horizontal="center" vertical="center" wrapText="1"/>
    </xf>
    <xf numFmtId="165" fontId="12" fillId="17" borderId="0" xfId="1" applyFont="1" applyFill="1" applyAlignment="1">
      <alignment horizontal="center" vertical="center"/>
    </xf>
    <xf numFmtId="168" fontId="1" fillId="17" borderId="0" xfId="1" applyNumberFormat="1" applyFont="1" applyFill="1" applyAlignment="1">
      <alignment horizontal="center" vertical="center"/>
    </xf>
    <xf numFmtId="168" fontId="0" fillId="17" borderId="0" xfId="1" applyNumberFormat="1" applyFont="1" applyFill="1" applyAlignment="1">
      <alignment horizontal="center" vertical="center" wrapText="1"/>
    </xf>
    <xf numFmtId="168" fontId="12" fillId="17" borderId="0" xfId="1" applyNumberFormat="1" applyFont="1" applyFill="1" applyAlignment="1">
      <alignment vertical="center"/>
    </xf>
    <xf numFmtId="168" fontId="12" fillId="17" borderId="13" xfId="0" applyNumberFormat="1" applyFont="1" applyFill="1" applyBorder="1" applyAlignment="1">
      <alignment horizontal="center" vertical="center" wrapText="1"/>
    </xf>
    <xf numFmtId="165" fontId="12" fillId="17" borderId="13" xfId="1" applyFont="1" applyFill="1" applyBorder="1" applyAlignment="1">
      <alignment horizontal="center" vertical="center"/>
    </xf>
    <xf numFmtId="168" fontId="0" fillId="17" borderId="13" xfId="1" applyNumberFormat="1" applyFont="1" applyFill="1" applyBorder="1" applyAlignment="1">
      <alignment horizontal="center" vertical="center" wrapText="1"/>
    </xf>
    <xf numFmtId="168" fontId="15" fillId="18" borderId="0" xfId="1" applyNumberFormat="1" applyFont="1" applyFill="1" applyAlignment="1">
      <alignment vertical="center"/>
    </xf>
    <xf numFmtId="0" fontId="34" fillId="0" borderId="0" xfId="0" applyFont="1" applyAlignment="1">
      <alignment vertical="center"/>
    </xf>
    <xf numFmtId="168" fontId="34" fillId="0" borderId="0" xfId="0" applyNumberFormat="1" applyFont="1" applyAlignment="1">
      <alignment vertical="center"/>
    </xf>
    <xf numFmtId="0" fontId="34" fillId="0" borderId="11" xfId="0" applyFont="1" applyBorder="1" applyAlignment="1">
      <alignment vertical="center"/>
    </xf>
    <xf numFmtId="168" fontId="34" fillId="0" borderId="11" xfId="0" applyNumberFormat="1" applyFont="1" applyBorder="1" applyAlignment="1">
      <alignment vertical="center"/>
    </xf>
    <xf numFmtId="0" fontId="35" fillId="5" borderId="0" xfId="0" applyFont="1" applyFill="1" applyAlignment="1">
      <alignment horizontal="center" vertical="center" wrapText="1"/>
    </xf>
    <xf numFmtId="0" fontId="36" fillId="9" borderId="0" xfId="0" applyFont="1" applyFill="1" applyAlignment="1">
      <alignment horizontal="center" vertical="center" wrapText="1"/>
    </xf>
    <xf numFmtId="0" fontId="36" fillId="11" borderId="12" xfId="0" applyFont="1" applyFill="1" applyBorder="1" applyAlignment="1">
      <alignment horizontal="center" vertical="center" wrapText="1"/>
    </xf>
    <xf numFmtId="168" fontId="34" fillId="7" borderId="0" xfId="0" applyNumberFormat="1" applyFont="1" applyFill="1" applyAlignment="1">
      <alignment vertical="center"/>
    </xf>
    <xf numFmtId="0" fontId="34" fillId="7" borderId="0" xfId="0" applyFont="1" applyFill="1" applyAlignment="1">
      <alignment vertical="center"/>
    </xf>
    <xf numFmtId="168" fontId="34" fillId="0" borderId="22" xfId="0" applyNumberFormat="1" applyFont="1" applyBorder="1" applyAlignment="1">
      <alignment vertical="center"/>
    </xf>
    <xf numFmtId="0" fontId="35" fillId="5" borderId="0" xfId="0" applyFont="1" applyFill="1" applyAlignment="1">
      <alignment vertical="center"/>
    </xf>
    <xf numFmtId="168" fontId="34" fillId="0" borderId="23" xfId="0" applyNumberFormat="1" applyFont="1" applyBorder="1" applyAlignment="1">
      <alignment vertical="center"/>
    </xf>
    <xf numFmtId="0" fontId="36" fillId="10" borderId="44" xfId="0" applyFont="1" applyFill="1" applyBorder="1" applyAlignment="1">
      <alignment horizontal="center" vertical="center" wrapText="1"/>
    </xf>
    <xf numFmtId="0" fontId="36" fillId="10" borderId="15" xfId="0" applyFont="1" applyFill="1" applyBorder="1" applyAlignment="1">
      <alignment horizontal="center" vertical="center" wrapText="1"/>
    </xf>
    <xf numFmtId="0" fontId="36" fillId="10" borderId="16" xfId="0" applyFont="1" applyFill="1" applyBorder="1" applyAlignment="1">
      <alignment horizontal="center" vertical="center" wrapText="1"/>
    </xf>
    <xf numFmtId="0" fontId="36" fillId="10" borderId="17" xfId="0" applyFont="1" applyFill="1" applyBorder="1" applyAlignment="1">
      <alignment horizontal="center" vertical="center" wrapText="1"/>
    </xf>
    <xf numFmtId="0" fontId="36" fillId="10" borderId="0" xfId="0" applyFont="1" applyFill="1" applyAlignment="1">
      <alignment horizontal="center" vertical="center" wrapText="1"/>
    </xf>
    <xf numFmtId="15" fontId="37" fillId="0" borderId="0" xfId="1" applyNumberFormat="1" applyFont="1" applyFill="1" applyAlignment="1">
      <alignment vertical="center"/>
    </xf>
    <xf numFmtId="1" fontId="15" fillId="0" borderId="0" xfId="1" applyNumberFormat="1" applyFont="1" applyFill="1" applyAlignment="1">
      <alignment horizontal="center" vertical="center"/>
    </xf>
    <xf numFmtId="9" fontId="15" fillId="0" borderId="0" xfId="1" applyNumberFormat="1" applyFont="1" applyFill="1" applyAlignment="1">
      <alignment horizontal="center" vertical="center"/>
    </xf>
    <xf numFmtId="0" fontId="15" fillId="0" borderId="0" xfId="1" applyNumberFormat="1" applyFont="1" applyFill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 applyProtection="1">
      <alignment vertical="center"/>
      <protection locked="0"/>
    </xf>
    <xf numFmtId="0" fontId="23" fillId="5" borderId="9" xfId="0" applyFont="1" applyFill="1" applyBorder="1" applyAlignment="1">
      <alignment horizontal="center" vertical="center"/>
    </xf>
    <xf numFmtId="0" fontId="23" fillId="5" borderId="14" xfId="0" applyFont="1" applyFill="1" applyBorder="1" applyAlignment="1">
      <alignment horizontal="center" vertical="center"/>
    </xf>
    <xf numFmtId="0" fontId="23" fillId="5" borderId="10" xfId="0" applyFont="1" applyFill="1" applyBorder="1" applyAlignment="1">
      <alignment horizontal="center" vertical="center"/>
    </xf>
    <xf numFmtId="0" fontId="23" fillId="5" borderId="0" xfId="0" applyFont="1" applyFill="1" applyAlignment="1">
      <alignment horizontal="center" vertical="center"/>
    </xf>
    <xf numFmtId="0" fontId="23" fillId="5" borderId="15" xfId="0" applyFont="1" applyFill="1" applyBorder="1" applyAlignment="1">
      <alignment horizontal="center" vertical="center"/>
    </xf>
    <xf numFmtId="0" fontId="23" fillId="5" borderId="16" xfId="0" applyFont="1" applyFill="1" applyBorder="1" applyAlignment="1">
      <alignment horizontal="center" vertical="center"/>
    </xf>
    <xf numFmtId="0" fontId="3" fillId="5" borderId="38" xfId="0" applyFont="1" applyFill="1" applyBorder="1" applyAlignment="1" applyProtection="1">
      <alignment horizontal="left" vertical="center"/>
      <protection locked="0"/>
    </xf>
    <xf numFmtId="0" fontId="3" fillId="5" borderId="39" xfId="0" applyFont="1" applyFill="1" applyBorder="1" applyAlignment="1" applyProtection="1">
      <alignment horizontal="left" vertical="center"/>
      <protection locked="0"/>
    </xf>
    <xf numFmtId="0" fontId="3" fillId="5" borderId="40" xfId="0" applyFont="1" applyFill="1" applyBorder="1" applyAlignment="1" applyProtection="1">
      <alignment horizontal="left" vertical="center"/>
      <protection locked="0"/>
    </xf>
    <xf numFmtId="0" fontId="2" fillId="5" borderId="34" xfId="0" applyFont="1" applyFill="1" applyBorder="1" applyAlignment="1" applyProtection="1">
      <alignment horizontal="center" vertical="center" wrapText="1"/>
      <protection locked="0"/>
    </xf>
    <xf numFmtId="0" fontId="3" fillId="5" borderId="33" xfId="0" applyFont="1" applyFill="1" applyBorder="1" applyAlignment="1" applyProtection="1">
      <alignment vertical="center"/>
      <protection locked="0"/>
    </xf>
    <xf numFmtId="0" fontId="3" fillId="5" borderId="1" xfId="0" applyFont="1" applyFill="1" applyBorder="1" applyAlignment="1" applyProtection="1">
      <alignment vertical="center"/>
      <protection locked="0"/>
    </xf>
    <xf numFmtId="0" fontId="3" fillId="5" borderId="34" xfId="0" applyFont="1" applyFill="1" applyBorder="1" applyAlignment="1" applyProtection="1">
      <alignment vertical="center"/>
      <protection locked="0"/>
    </xf>
    <xf numFmtId="0" fontId="3" fillId="5" borderId="35" xfId="0" applyFont="1" applyFill="1" applyBorder="1" applyAlignment="1" applyProtection="1">
      <alignment vertical="center"/>
      <protection locked="0"/>
    </xf>
    <xf numFmtId="0" fontId="3" fillId="5" borderId="36" xfId="0" applyFont="1" applyFill="1" applyBorder="1" applyAlignment="1" applyProtection="1">
      <alignment vertical="center"/>
      <protection locked="0"/>
    </xf>
    <xf numFmtId="0" fontId="3" fillId="5" borderId="37" xfId="0" applyFont="1" applyFill="1" applyBorder="1" applyAlignment="1" applyProtection="1">
      <alignment vertical="center"/>
      <protection locked="0"/>
    </xf>
    <xf numFmtId="0" fontId="12" fillId="0" borderId="1" xfId="0" applyFont="1" applyBorder="1" applyAlignment="1">
      <alignment horizontal="center"/>
    </xf>
    <xf numFmtId="0" fontId="19" fillId="0" borderId="20" xfId="0" applyFont="1" applyBorder="1" applyAlignment="1">
      <alignment horizontal="left"/>
    </xf>
    <xf numFmtId="0" fontId="19" fillId="0" borderId="29" xfId="0" applyFont="1" applyBorder="1" applyAlignment="1">
      <alignment horizontal="left"/>
    </xf>
    <xf numFmtId="0" fontId="21" fillId="0" borderId="22" xfId="0" applyFont="1" applyBorder="1" applyAlignment="1">
      <alignment horizontal="left"/>
    </xf>
    <xf numFmtId="0" fontId="21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0" fillId="17" borderId="0" xfId="0" applyFill="1" applyAlignment="1">
      <alignment horizontal="left" vertical="center" wrapText="1"/>
    </xf>
    <xf numFmtId="0" fontId="23" fillId="5" borderId="5" xfId="0" applyFont="1" applyFill="1" applyBorder="1" applyAlignment="1">
      <alignment horizontal="center" vertical="center"/>
    </xf>
    <xf numFmtId="0" fontId="23" fillId="5" borderId="6" xfId="0" applyFont="1" applyFill="1" applyBorder="1" applyAlignment="1">
      <alignment horizontal="center" vertical="center"/>
    </xf>
    <xf numFmtId="0" fontId="23" fillId="5" borderId="41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14" fontId="0" fillId="0" borderId="0" xfId="0" applyNumberFormat="1"/>
  </cellXfs>
  <cellStyles count="17">
    <cellStyle name="Comma" xfId="1" builtinId="3"/>
    <cellStyle name="Comma 12" xfId="14" xr:uid="{48005CFE-3FAE-DA41-84FA-317EF90C8815}"/>
    <cellStyle name="Comma 2" xfId="8" xr:uid="{00000000-0005-0000-0000-000001000000}"/>
    <cellStyle name="Comma 2 2" xfId="9" xr:uid="{00000000-0005-0000-0000-000002000000}"/>
    <cellStyle name="Comma 3" xfId="10" xr:uid="{00000000-0005-0000-0000-000003000000}"/>
    <cellStyle name="Comma 5" xfId="16" xr:uid="{66D46872-A5C8-A045-9275-6B6D6FA3B1E5}"/>
    <cellStyle name="Comma 6" xfId="15" xr:uid="{D3C95B45-867A-254F-A95C-DC2564323602}"/>
    <cellStyle name="Normal" xfId="0" builtinId="0"/>
    <cellStyle name="Normal 10" xfId="3" xr:uid="{00000000-0005-0000-0000-000005000000}"/>
    <cellStyle name="Normal 11" xfId="13" xr:uid="{EB6A46CB-B665-485B-B73F-DEEFA68DC369}"/>
    <cellStyle name="Normal 13" xfId="12" xr:uid="{8D2BC62F-72A6-42D8-9CD1-DDB28615B73B}"/>
    <cellStyle name="Normal 2" xfId="7" xr:uid="{00000000-0005-0000-0000-000006000000}"/>
    <cellStyle name="Normal 3 3" xfId="5" xr:uid="{00000000-0005-0000-0000-000007000000}"/>
    <cellStyle name="Normal 3 3 2" xfId="6" xr:uid="{00000000-0005-0000-0000-000008000000}"/>
    <cellStyle name="Normal 4 2" xfId="4" xr:uid="{00000000-0005-0000-0000-000009000000}"/>
    <cellStyle name="Normal 50" xfId="11" xr:uid="{46405051-0F30-486E-BAE3-2C7DC0311E4C}"/>
    <cellStyle name="Normal 73 5" xfId="2" xr:uid="{00000000-0005-0000-0000-00000A000000}"/>
  </cellStyles>
  <dxfs count="432">
    <dxf>
      <numFmt numFmtId="19" formatCode="yyyy/mm/dd"/>
    </dxf>
    <dxf>
      <numFmt numFmtId="19" formatCode="yyyy/mm/dd"/>
    </dxf>
    <dxf>
      <numFmt numFmtId="19" formatCode="yyyy/mm/dd"/>
    </dxf>
    <dxf>
      <numFmt numFmtId="19" formatCode="yyyy/mm/dd"/>
    </dxf>
    <dxf>
      <alignment wrapText="1" readingOrder="0"/>
    </dxf>
    <dxf>
      <alignment wrapText="1" readingOrder="0"/>
    </dxf>
    <dxf>
      <alignment wrapText="1" readingOrder="0"/>
    </dxf>
    <dxf>
      <numFmt numFmtId="165" formatCode="_ * #,##0.00_ ;_ * \-#,##0.00_ ;_ * &quot;-&quot;??_ ;_ @_ "/>
    </dxf>
    <dxf>
      <fill>
        <patternFill patternType="solid">
          <bgColor rgb="FF00FF00"/>
        </patternFill>
      </fill>
    </dxf>
    <dxf>
      <font>
        <color auto="1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name val="Arial Narrow"/>
        <scheme val="none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horizontal="center" readingOrder="0"/>
    </dxf>
    <dxf>
      <alignment horizontal="center" readingOrder="0"/>
    </dxf>
    <dxf>
      <font>
        <b/>
      </font>
    </dxf>
    <dxf>
      <font>
        <b/>
      </font>
    </dxf>
    <dxf>
      <border>
        <top style="double">
          <color rgb="FF002060"/>
        </top>
        <bottom style="double">
          <color rgb="FF002060"/>
        </bottom>
      </border>
    </dxf>
    <dxf>
      <border>
        <top style="double">
          <color rgb="FF002060"/>
        </top>
        <bottom style="double">
          <color rgb="FF002060"/>
        </bottom>
      </border>
    </dxf>
    <dxf>
      <numFmt numFmtId="168" formatCode="_ * #,##0_ ;_ * \-#,##0_ ;_ * &quot;-&quot;??_ ;_ @_ "/>
    </dxf>
    <dxf>
      <border>
        <bottom style="double">
          <color auto="1"/>
        </bottom>
      </border>
    </dxf>
    <dxf>
      <border>
        <bottom style="double">
          <color auto="1"/>
        </bottom>
      </border>
    </dxf>
    <dxf>
      <alignment wrapText="0" readingOrder="0"/>
    </dxf>
    <dxf>
      <alignment wrapText="1" readingOrder="0"/>
    </dxf>
    <dxf>
      <alignment wrapText="1" readingOrder="0"/>
    </dxf>
    <dxf>
      <alignment horizontal="center" readingOrder="0"/>
    </dxf>
    <dxf>
      <alignment horizontal="center" readingOrder="0"/>
    </dxf>
    <dxf>
      <font>
        <color theme="0"/>
      </font>
      <fill>
        <patternFill patternType="solid">
          <fgColor theme="8" tint="-0.249977111117893"/>
          <bgColor theme="8" tint="-0.249977111117893"/>
        </patternFill>
      </fill>
    </dxf>
    <dxf>
      <font>
        <color theme="0"/>
      </font>
      <fill>
        <patternFill patternType="solid">
          <fgColor theme="8" tint="-0.249977111117893"/>
          <bgColor theme="8" tint="-0.249977111117893"/>
        </patternFill>
      </fill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fill>
        <patternFill>
          <bgColor rgb="FFFFFF00"/>
        </patternFill>
      </fill>
    </dxf>
    <dxf>
      <font>
        <color auto="1"/>
      </font>
    </dxf>
    <dxf>
      <font>
        <color auto="1"/>
      </font>
      <fill>
        <patternFill>
          <bgColor rgb="FF66FF33"/>
        </patternFill>
      </fill>
    </dxf>
    <dxf>
      <font>
        <b/>
      </font>
    </dxf>
    <dxf>
      <font>
        <b/>
      </font>
    </dxf>
    <dxf>
      <font>
        <b/>
      </font>
    </dxf>
    <dxf>
      <alignment wrapText="1"/>
    </dxf>
    <dxf>
      <alignment horizontal="center"/>
    </dxf>
    <dxf>
      <alignment horizontal="center"/>
    </dxf>
    <dxf>
      <alignment horizontal="center"/>
    </dxf>
    <dxf>
      <font>
        <b/>
        <color theme="0"/>
      </font>
      <fill>
        <patternFill patternType="solid">
          <fgColor theme="8" tint="-0.249977111117893"/>
          <bgColor theme="8" tint="-0.249977111117893"/>
        </patternFill>
      </fill>
    </dxf>
    <dxf>
      <alignment wrapText="1"/>
    </dxf>
    <dxf>
      <alignment wrapText="1"/>
    </dxf>
    <dxf>
      <alignment wrapText="1"/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002060"/>
        </patternFill>
      </fill>
    </dxf>
    <dxf>
      <fill>
        <patternFill>
          <bgColor rgb="FF002060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002060"/>
        </patternFill>
      </fill>
    </dxf>
    <dxf>
      <fill>
        <patternFill patternType="solid">
          <bgColor rgb="FF002060"/>
        </patternFill>
      </fill>
    </dxf>
    <dxf>
      <fill>
        <patternFill patternType="solid">
          <bgColor rgb="FF00206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font>
        <b/>
      </font>
    </dxf>
    <dxf>
      <border>
        <right style="thin">
          <color indexed="64"/>
        </right>
      </border>
    </dxf>
    <dxf>
      <border>
        <left style="medium">
          <color indexed="64"/>
        </left>
        <right style="medium">
          <color indexed="64"/>
        </right>
        <bottom style="medium">
          <color indexed="64"/>
        </bottom>
      </border>
    </dxf>
    <dxf>
      <font>
        <b/>
        <color theme="0"/>
      </font>
      <fill>
        <patternFill patternType="solid">
          <fgColor theme="8" tint="-0.249977111117893"/>
          <bgColor rgb="FFFFC000"/>
        </patternFill>
      </fill>
      <alignment horizontal="center" wrapText="1"/>
    </dxf>
    <dxf>
      <fill>
        <patternFill>
          <bgColor rgb="FFFF6699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6699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6699"/>
        </patternFill>
      </fill>
    </dxf>
    <dxf>
      <fill>
        <patternFill>
          <bgColor rgb="FFFF6699"/>
        </patternFill>
      </fill>
    </dxf>
    <dxf>
      <fill>
        <patternFill>
          <bgColor rgb="FFFF6699"/>
        </patternFill>
      </fill>
    </dxf>
    <dxf>
      <fill>
        <patternFill>
          <bgColor rgb="FFFF669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border diagonalUp="0" diagonalDown="0" outline="0">
        <left/>
        <right/>
        <top style="thin">
          <color theme="4" tint="0.39997558519241921"/>
        </top>
        <bottom/>
      </border>
    </dxf>
    <dxf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border diagonalUp="0" diagonalDown="0" outline="0">
        <left/>
        <right/>
        <top style="thin">
          <color theme="4" tint="0.39997558519241921"/>
        </top>
        <bottom/>
      </border>
    </dxf>
    <dxf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5" formatCode="_ * #,##0.00_ ;_ * \-#,##0.0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5" formatCode="_ * #,##0.00_ ;_ * \-#,##0.0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numFmt numFmtId="168" formatCode="_ * #,##0_ ;_ * \-#,##0_ ;_ * &quot;-&quot;??_ ;_ @_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2" formatCode="0.00"/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2" formatCode="0.00"/>
      <alignment horizontal="left" vertical="top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2" formatCode="0.00"/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2" formatCode="0.00"/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2" formatCode="0.00"/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5" formatCode="_ * #,##0.00_ ;_ * \-#,##0.0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5" formatCode="_ * #,##0.00_ ;_ * \-#,##0.0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3" formatCode="0%"/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3" formatCode="0%"/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34" formatCode="_-&quot;R&quot;* #,##0.00_-;\-&quot;R&quot;* #,##0.00_-;_-&quot;R&quot;* &quot;-&quot;??_-;_-@_-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34" formatCode="_-&quot;R&quot;* #,##0.00_-;\-&quot;R&quot;* #,##0.00_-;_-&quot;R&quot;* &quot;-&quot;??_-;_-@_-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9" formatCode="dd\ mmm\ yyyy"/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9" formatCode="dd\ mmm\ yyyy"/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numFmt numFmtId="20" formatCode="dd\-mmm\-yy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numFmt numFmtId="20" formatCode="dd\-mmm\-yy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numFmt numFmtId="20" formatCode="dd\-mmm\-yy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numFmt numFmtId="20" formatCode="dd\-mmm\-yy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5" formatCode="_ * #,##0.00_ ;_ * \-#,##0.00_ ;_ * &quot;-&quot;??_ ;_ @_ "/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FFFF00"/>
        <name val="Arial Narrow"/>
        <family val="2"/>
        <scheme val="none"/>
      </font>
      <fill>
        <patternFill patternType="solid">
          <fgColor indexed="64"/>
          <bgColor rgb="FFC0000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5" formatCode="_ * #,##0.00_ ;_ * \-#,##0.0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8" formatCode="_ * #,##0_ ;_ * \-#,##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8" formatCode="_ * #,##0_ ;_ * \-#,##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numFmt numFmtId="2" formatCode="0.00"/>
      <fill>
        <patternFill patternType="none">
          <fgColor indexed="64"/>
          <bgColor rgb="FFFFFF0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5" formatCode="_ * #,##0.00_ ;_ * \-#,##0.00_ ;_ * &quot;-&quot;??_ ;_ @_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3" formatCode="0%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34" formatCode="_-&quot;R&quot;* #,##0.00_-;\-&quot;R&quot;* #,##0.00_-;_-&quot;R&quot;* &quot;-&quot;??_-;_-@_-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numFmt numFmtId="34" formatCode="_-&quot;R&quot;* #,##0.00_-;\-&quot;R&quot;* #,##0.00_-;_-&quot;R&quot;* &quot;-&quot;??_-;_-@_-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9" formatCode="dd\ mmm\ yyyy"/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numFmt numFmtId="169" formatCode="dd\ mmm\ 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9" formatCode="dd\ mmm\ yyyy"/>
      <alignment horizontal="center" vertical="center" textRotation="0" wrapText="0" indent="0" justifyLastLine="0" shrinkToFit="0" readingOrder="0"/>
      <protection locked="0" hidden="0"/>
    </dxf>
    <dxf>
      <numFmt numFmtId="20" formatCode="dd\-mmm\-yy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5" formatCode="_ * #,##0.00_ ;_ * \-#,##0.00_ ;_ * &quot;-&quot;??_ ;_ @_ 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scheme val="none"/>
      </font>
      <numFmt numFmtId="20" formatCode="dd\-mmm\-yy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5" formatCode="_ * #,##0.00_ ;_ * \-#,##0.00_ ;_ * &quot;-&quot;??_ ;_ @_ "/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general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center" textRotation="0" wrapText="0" indent="0" justifyLastLine="0" shrinkToFit="0" readingOrder="0"/>
    </dxf>
    <dxf>
      <font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FFFF00"/>
        <name val="Arial Narrow"/>
        <scheme val="none"/>
      </font>
      <fill>
        <patternFill patternType="solid">
          <fgColor indexed="64"/>
          <bgColor rgb="FFC00000"/>
        </patternFill>
      </fill>
      <alignment horizontal="center" vertical="center" textRotation="0" wrapText="1" indent="0" justifyLastLine="0" shrinkToFit="0" readingOrder="0"/>
    </dxf>
    <dxf>
      <border>
        <top style="thin">
          <color theme="8" tint="0.79998168889431442"/>
        </top>
        <bottom style="thin">
          <color theme="8" tint="0.79998168889431442"/>
        </bottom>
      </border>
    </dxf>
    <dxf>
      <border>
        <top style="thin">
          <color theme="8" tint="0.79998168889431442"/>
        </top>
        <bottom style="thin">
          <color theme="8" tint="0.79998168889431442"/>
        </bottom>
      </border>
    </dxf>
    <dxf>
      <fill>
        <patternFill patternType="solid">
          <fgColor theme="8" tint="0.79998168889431442"/>
          <bgColor theme="8" tint="0.79998168889431442"/>
        </patternFill>
      </fill>
      <border>
        <bottom style="thin">
          <color theme="8"/>
        </bottom>
      </border>
    </dxf>
    <dxf>
      <font>
        <color theme="0"/>
      </font>
      <fill>
        <patternFill patternType="solid">
          <fgColor theme="8" tint="0.39997558519241921"/>
          <bgColor theme="8" tint="0.39997558519241921"/>
        </patternFill>
      </fill>
      <border>
        <bottom style="thin">
          <color theme="8" tint="0.79998168889431442"/>
        </bottom>
        <horizontal style="thin">
          <color theme="8" tint="0.39997558519241921"/>
        </horizontal>
      </border>
    </dxf>
    <dxf>
      <border>
        <bottom style="thin">
          <color theme="8" tint="0.59999389629810485"/>
        </bottom>
      </border>
    </dxf>
    <dxf>
      <font>
        <b/>
        <color theme="1"/>
      </font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0"/>
      </font>
      <fill>
        <patternFill patternType="solid">
          <fgColor theme="8" tint="0.39997558519241921"/>
          <bgColor theme="8" tint="0.39997558519241921"/>
        </patternFill>
      </fill>
    </dxf>
    <dxf>
      <font>
        <b/>
        <color theme="0"/>
      </font>
    </dxf>
    <dxf>
      <border>
        <left style="thin">
          <color theme="8" tint="-0.249977111117893"/>
        </left>
        <right style="thin">
          <color theme="8" tint="-0.249977111117893"/>
        </right>
      </border>
    </dxf>
    <dxf>
      <border>
        <top style="thin">
          <color theme="8" tint="-0.249977111117893"/>
        </top>
        <bottom style="thin">
          <color theme="8" tint="-0.249977111117893"/>
        </bottom>
        <horizontal style="thin">
          <color theme="8" tint="-0.249977111117893"/>
        </horizontal>
      </border>
    </dxf>
    <dxf>
      <font>
        <b/>
        <color theme="1"/>
      </font>
      <border>
        <top style="double">
          <color theme="8" tint="-0.249977111117893"/>
        </top>
      </border>
    </dxf>
    <dxf>
      <font>
        <color theme="0"/>
      </font>
      <fill>
        <patternFill patternType="solid">
          <fgColor theme="8" tint="-0.249977111117893"/>
          <bgColor theme="8" tint="-0.249977111117893"/>
        </patternFill>
      </fill>
      <border>
        <horizontal style="thin">
          <color theme="8" tint="-0.249977111117893"/>
        </horizontal>
      </border>
    </dxf>
    <dxf>
      <font>
        <color theme="1"/>
      </font>
      <border>
        <horizontal style="thin">
          <color theme="8" tint="0.79998168889431442"/>
        </horizontal>
      </border>
    </dxf>
  </dxfs>
  <tableStyles count="1" defaultTableStyle="TableStyleMedium2" defaultPivotStyle="PivotStyleLight16">
    <tableStyle name="PivotStyleMedium6 2" table="0" count="13" xr9:uid="{00000000-0011-0000-FFFF-FFFF00000000}">
      <tableStyleElement type="wholeTable" dxfId="431"/>
      <tableStyleElement type="headerRow" dxfId="430"/>
      <tableStyleElement type="totalRow" dxfId="429"/>
      <tableStyleElement type="firstRowStripe" dxfId="428"/>
      <tableStyleElement type="firstColumnStripe" dxfId="427"/>
      <tableStyleElement type="firstHeaderCell" dxfId="426"/>
      <tableStyleElement type="firstSubtotalRow" dxfId="425"/>
      <tableStyleElement type="secondSubtotalRow" dxfId="424"/>
      <tableStyleElement type="firstColumnSubheading" dxfId="423"/>
      <tableStyleElement type="firstRowSubheading" dxfId="422"/>
      <tableStyleElement type="secondRowSubheading" dxfId="421"/>
      <tableStyleElement type="pageFieldLabels" dxfId="420"/>
      <tableStyleElement type="pageFieldValues" dxfId="419"/>
    </tableStyle>
  </tableStyles>
  <colors>
    <mruColors>
      <color rgb="FFFF3399"/>
      <color rgb="FF00FF00"/>
      <color rgb="FFCCCCFF"/>
      <color rgb="FF006600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104775</xdr:rowOff>
    </xdr:from>
    <xdr:to>
      <xdr:col>10</xdr:col>
      <xdr:colOff>244176</xdr:colOff>
      <xdr:row>12</xdr:row>
      <xdr:rowOff>171156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104775"/>
          <a:ext cx="8733333" cy="235238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erver-11\LAGAUT\admin\370%20civil\A097\00\R\p\Turn%20Key%20Project%20Progress%20Summary(MASTER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JBFE%202019\Docs\Copy%20of%20Draft%20TAR%20Maquassi%20Framework%20ver%2016%20(08-04-14)%20ZC%20ver%205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anda\Desktop\NHC\nhc%20Verification%20status%2027-03-2025.xlsx" TargetMode="External"/><Relationship Id="rId1" Type="http://schemas.openxmlformats.org/officeDocument/2006/relationships/externalLinkPath" Target="file:///C:\Users\Sanda\Desktop\NHC\nhc%20Verification%20status%2027-03-2025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anda\Desktop\NHC%202025\NHC%20FAR%202024-25%20Movables%20register%20Draft.xlsx" TargetMode="External"/><Relationship Id="rId1" Type="http://schemas.openxmlformats.org/officeDocument/2006/relationships/externalLinkPath" Target="file:///C:\Users\Mandisi%20Peza\Downloads\NHC%20FAR%202024-25%20Movables%20register%20Draf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GRES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R Template"/>
      <sheetName val="TAR Model"/>
      <sheetName val="Sheet16"/>
      <sheetName val="Sheet14"/>
      <sheetName val="Road class"/>
      <sheetName val="Sheet15"/>
      <sheetName val="Sheet13"/>
      <sheetName val="Sheet8"/>
      <sheetName val="Sheet7"/>
      <sheetName val="Library"/>
      <sheetName val="2012-13 CPI"/>
      <sheetName val="iAM Hierarchy (1-6)"/>
      <sheetName val="Sheet2"/>
      <sheetName val="Sheet3"/>
      <sheetName val="Sheet4"/>
      <sheetName val="Sheet5"/>
      <sheetName val="Sheet6"/>
      <sheetName val="iAM Hierarchy Comp Types"/>
      <sheetName val=" dplg Condition grading"/>
      <sheetName val="Sheet9"/>
      <sheetName val="Sheet10"/>
      <sheetName val="Sheet11"/>
      <sheetName val="Sheet12"/>
      <sheetName val="(1-6) Pivot"/>
      <sheetName val="Sheet1"/>
      <sheetName val="Interview - Sign off"/>
      <sheetName val=" Concrete volume calc"/>
      <sheetName val="Photography Spec"/>
      <sheetName val="Copy of Draft TAR Maquassi Fram"/>
    </sheetNames>
    <definedNames>
      <definedName name="TblAssetCategoryList" refersTo="#REF!" sheetId="1"/>
    </defined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hc"/>
      <sheetName val="Sheet2"/>
    </sheetNames>
    <sheetDataSet>
      <sheetData sheetId="0" refreshError="1">
        <row r="1">
          <cell r="I1" t="str">
            <v>barcode</v>
          </cell>
          <cell r="J1" t="str">
            <v>classification</v>
          </cell>
          <cell r="K1" t="str">
            <v>description_of_asset</v>
          </cell>
          <cell r="L1" t="str">
            <v>serial_number</v>
          </cell>
          <cell r="M1" t="str">
            <v>take_on_date</v>
          </cell>
          <cell r="N1" t="str">
            <v>number_of</v>
          </cell>
          <cell r="O1" t="str">
            <v>location_of_assets</v>
          </cell>
          <cell r="P1" t="str">
            <v>room_number</v>
          </cell>
        </row>
        <row r="2">
          <cell r="I2" t="str">
            <v>001455</v>
          </cell>
          <cell r="J2" t="str">
            <v>Property, plant &amp; equipment, Movable assets, COMPUTER EQUIPMENT, Other Assets, Dell Laptop</v>
          </cell>
          <cell r="K2" t="str">
            <v>Dell Laptop</v>
          </cell>
          <cell r="N2">
            <v>1</v>
          </cell>
          <cell r="O2" t="str">
            <v>Main offices</v>
          </cell>
          <cell r="P2" t="str">
            <v>Counciler</v>
          </cell>
        </row>
        <row r="3">
          <cell r="I3" t="str">
            <v>NHC 000591</v>
          </cell>
          <cell r="J3" t="str">
            <v>Property, plant &amp; equipment, Movable assets, FURNITURE AND FITTINGS, Other Assets, Cabinet</v>
          </cell>
          <cell r="K3" t="str">
            <v>Cabinet</v>
          </cell>
          <cell r="N3">
            <v>1</v>
          </cell>
          <cell r="O3" t="str">
            <v>Main offices</v>
          </cell>
          <cell r="P3" t="str">
            <v xml:space="preserve">Basement </v>
          </cell>
        </row>
        <row r="4">
          <cell r="I4">
            <v>1795</v>
          </cell>
          <cell r="J4" t="str">
            <v>Property, plant &amp; equipment, Movable assets, COMPUTER EQUIPMENT, Other Assets, Lenovo Thinking Pad - Adv Ralefatane</v>
          </cell>
          <cell r="K4" t="str">
            <v>Lenovo Thinking Pad - Adv Ralefatane</v>
          </cell>
          <cell r="N4">
            <v>1</v>
          </cell>
          <cell r="O4" t="str">
            <v>Main offices</v>
          </cell>
          <cell r="P4" t="str">
            <v xml:space="preserve">Councilor </v>
          </cell>
        </row>
        <row r="5">
          <cell r="I5" t="str">
            <v>001809</v>
          </cell>
          <cell r="J5" t="str">
            <v>Property, plant &amp; equipment, Movable assets, COMPUTER EQUIPMENT, Other Assets, Server</v>
          </cell>
          <cell r="K5" t="str">
            <v>Server</v>
          </cell>
          <cell r="N5">
            <v>1</v>
          </cell>
          <cell r="O5" t="str">
            <v>Main offices</v>
          </cell>
          <cell r="P5" t="str">
            <v>R17 server room</v>
          </cell>
        </row>
        <row r="6">
          <cell r="I6" t="str">
            <v>001850</v>
          </cell>
          <cell r="J6" t="str">
            <v>Property, plant &amp; equipment, Movable assets, COMPUTER EQUIPMENT, Other Assets, Server</v>
          </cell>
          <cell r="K6" t="str">
            <v>Server</v>
          </cell>
          <cell r="N6">
            <v>1</v>
          </cell>
          <cell r="O6" t="str">
            <v>Main offices</v>
          </cell>
          <cell r="P6" t="str">
            <v>R17 server room</v>
          </cell>
        </row>
        <row r="7">
          <cell r="I7">
            <v>1886</v>
          </cell>
          <cell r="J7" t="str">
            <v>Property, plant &amp; equipment, Movable assets, COMPUTER EQUIPMENT, Other Assets, Server</v>
          </cell>
          <cell r="K7" t="str">
            <v>Server</v>
          </cell>
          <cell r="N7">
            <v>1</v>
          </cell>
          <cell r="O7" t="str">
            <v>Main offices</v>
          </cell>
          <cell r="P7" t="str">
            <v>R17 server room</v>
          </cell>
        </row>
        <row r="8">
          <cell r="I8" t="str">
            <v>NHC000826</v>
          </cell>
          <cell r="J8" t="str">
            <v>Property, plant &amp; equipment, Movable assets, FURNITURE AND FITTINGS, Other Assets, High Back Chair</v>
          </cell>
          <cell r="K8" t="str">
            <v>High Back Chair</v>
          </cell>
          <cell r="N8">
            <v>1</v>
          </cell>
          <cell r="O8" t="str">
            <v>Main offices</v>
          </cell>
          <cell r="P8" t="str">
            <v>R27</v>
          </cell>
        </row>
        <row r="9">
          <cell r="I9">
            <v>1299</v>
          </cell>
          <cell r="J9" t="str">
            <v>Property, plant &amp; equipment, Movable assets, COMPUTER EQUIPMENT, Other Assets, DELL LAPTOP/Matha</v>
          </cell>
          <cell r="K9" t="str">
            <v>DELL LAPTOP/Matha</v>
          </cell>
          <cell r="N9">
            <v>1</v>
          </cell>
          <cell r="O9" t="str">
            <v>Main offices</v>
          </cell>
          <cell r="P9" t="str">
            <v>R10</v>
          </cell>
        </row>
        <row r="10">
          <cell r="I10" t="str">
            <v>001664</v>
          </cell>
          <cell r="J10" t="str">
            <v>Property, plant &amp; equipment, Movable assets, COMPUTER EQUIPMENT, Other Assets, Server</v>
          </cell>
          <cell r="K10" t="str">
            <v>ubiquiti unifi switch pro server</v>
          </cell>
          <cell r="N10">
            <v>1</v>
          </cell>
          <cell r="O10" t="str">
            <v>Main offices</v>
          </cell>
          <cell r="P10" t="str">
            <v>R17 server room</v>
          </cell>
        </row>
        <row r="11">
          <cell r="I11" t="str">
            <v>001663</v>
          </cell>
          <cell r="J11" t="str">
            <v>Property, plant &amp; equipment, Movable assets, COMPUTER EQUIPMENT, Other Assets, Server</v>
          </cell>
          <cell r="K11" t="str">
            <v>Server</v>
          </cell>
          <cell r="N11">
            <v>1</v>
          </cell>
          <cell r="O11" t="str">
            <v>Main offices</v>
          </cell>
          <cell r="P11" t="str">
            <v>R17 server room</v>
          </cell>
        </row>
        <row r="12">
          <cell r="I12" t="str">
            <v>001662</v>
          </cell>
          <cell r="J12" t="str">
            <v>Property, plant &amp; equipment, Movable assets, COMPUTER EQUIPMENT, Other Assets, Server</v>
          </cell>
          <cell r="K12" t="str">
            <v>Server</v>
          </cell>
          <cell r="N12">
            <v>1</v>
          </cell>
          <cell r="O12" t="str">
            <v>Main offices</v>
          </cell>
          <cell r="P12" t="str">
            <v>R17 server room</v>
          </cell>
        </row>
        <row r="13">
          <cell r="I13" t="str">
            <v>001661</v>
          </cell>
          <cell r="J13" t="str">
            <v>Property, plant &amp; equipment, Movable assets, COMPUTER EQUIPMENT, Other Assets, Server</v>
          </cell>
          <cell r="K13" t="str">
            <v>Server</v>
          </cell>
          <cell r="N13">
            <v>1</v>
          </cell>
          <cell r="O13" t="str">
            <v>Main offices</v>
          </cell>
          <cell r="P13" t="str">
            <v>R17 server room</v>
          </cell>
        </row>
        <row r="14">
          <cell r="I14" t="str">
            <v>NHC000701</v>
          </cell>
          <cell r="J14" t="str">
            <v>Property, plant &amp; equipment, Movable assets, COMPUTER EQUIPMENT, Other Assets, Mirco HP server with 2 TB Storage</v>
          </cell>
          <cell r="K14" t="str">
            <v>Mirco HP server with 2 TB Storage</v>
          </cell>
          <cell r="N14">
            <v>1</v>
          </cell>
          <cell r="O14" t="str">
            <v>Main offices</v>
          </cell>
          <cell r="P14" t="str">
            <v>R17</v>
          </cell>
        </row>
        <row r="15">
          <cell r="I15">
            <v>1971</v>
          </cell>
          <cell r="J15" t="str">
            <v>Property, plant &amp; equipment, Movable assets, COMPUTER EQUIPMENT, Other Assets, Lenovo Laptop - Sibongile Ndzimande</v>
          </cell>
          <cell r="K15" t="str">
            <v>Lenovo Laptop - Sibongile Ndzimande</v>
          </cell>
          <cell r="N15">
            <v>1</v>
          </cell>
          <cell r="O15" t="str">
            <v>Main offices</v>
          </cell>
          <cell r="P15" t="str">
            <v>R25</v>
          </cell>
        </row>
        <row r="16">
          <cell r="I16">
            <v>1505</v>
          </cell>
          <cell r="J16" t="str">
            <v>Property, plant &amp; equipment, Movable assets, OFFICE EQUIPMENT AND TOOLS, Other Assets, Phillips Conference Kit</v>
          </cell>
          <cell r="K16" t="str">
            <v>Phillips Conference Kit</v>
          </cell>
          <cell r="N16">
            <v>1</v>
          </cell>
          <cell r="O16" t="str">
            <v>Main offices</v>
          </cell>
          <cell r="P16" t="str">
            <v>R25</v>
          </cell>
        </row>
        <row r="17">
          <cell r="I17">
            <v>1569</v>
          </cell>
          <cell r="J17" t="str">
            <v>Property, plant &amp; equipment, Movable assets, COMPUTER EQUIPMENT, Other Assets, Samsung Tab S8 Ultra 14.6 5G Grey</v>
          </cell>
          <cell r="K17" t="str">
            <v>Samsung Tab S8 Ultra 14.6 5G Grey</v>
          </cell>
          <cell r="L17" t="str">
            <v>r52k715wvmf</v>
          </cell>
          <cell r="N17">
            <v>1</v>
          </cell>
          <cell r="O17" t="str">
            <v>Main offices</v>
          </cell>
          <cell r="P17" t="str">
            <v>Open plan finance</v>
          </cell>
        </row>
        <row r="18">
          <cell r="I18" t="str">
            <v>NHC000981</v>
          </cell>
          <cell r="J18" t="str">
            <v>Property, plant &amp; equipment, Movable assets, COMPUTER EQUIPMENT, Other Assets, CP 16UX600X800 Cabinet &amp; Accessories</v>
          </cell>
          <cell r="K18" t="str">
            <v>CP 16UX600X800 Cabinet &amp; Accessories</v>
          </cell>
          <cell r="N18">
            <v>1</v>
          </cell>
          <cell r="O18" t="str">
            <v>Main offices</v>
          </cell>
          <cell r="P18" t="str">
            <v>Open plan HR</v>
          </cell>
        </row>
        <row r="19">
          <cell r="I19" t="str">
            <v>001882</v>
          </cell>
          <cell r="J19" t="str">
            <v>Property, plant &amp; equipment, Movable assets, COMPUTER EQUIPMENT, Other Assets, LENOVO LAPTOP/Tshepo</v>
          </cell>
          <cell r="K19" t="str">
            <v>lenovo</v>
          </cell>
          <cell r="N19">
            <v>1</v>
          </cell>
          <cell r="O19" t="str">
            <v>Main offices</v>
          </cell>
          <cell r="P19" t="str">
            <v>R6</v>
          </cell>
        </row>
        <row r="20">
          <cell r="I20" t="str">
            <v>NHC 000219</v>
          </cell>
          <cell r="J20" t="str">
            <v>Property, plant &amp; equipment, Movable assets, FURNITURE AND FITTINGS, Other Assets, CHAIR HIGHBACK LEATHER</v>
          </cell>
          <cell r="K20" t="str">
            <v>CHAIR HIGHBACL LEATHER</v>
          </cell>
          <cell r="N20">
            <v>1</v>
          </cell>
          <cell r="O20" t="str">
            <v>Main offices</v>
          </cell>
          <cell r="P20" t="str">
            <v>R23</v>
          </cell>
        </row>
        <row r="21">
          <cell r="I21" t="str">
            <v>001652</v>
          </cell>
          <cell r="J21" t="str">
            <v>Property, plant &amp; equipment, Movable assets, COMPUTER EQUIPMENT, Other Assets, Lenovo Laptop - Unassigned</v>
          </cell>
          <cell r="K21" t="str">
            <v>lenovo laptop</v>
          </cell>
          <cell r="L21" t="str">
            <v>pW0DYF77PWN0B4A04008</v>
          </cell>
          <cell r="N21">
            <v>1</v>
          </cell>
          <cell r="O21" t="str">
            <v>Main offices</v>
          </cell>
          <cell r="P21" t="str">
            <v xml:space="preserve">Open plan finance </v>
          </cell>
        </row>
        <row r="22">
          <cell r="I22">
            <v>1233</v>
          </cell>
          <cell r="J22" t="str">
            <v>Property, plant &amp; equipment, Movable assets, FURNITURE AND FITTINGS, Other Assets, Mobile Pedestal</v>
          </cell>
          <cell r="K22" t="str">
            <v>Mobile Pedestal</v>
          </cell>
          <cell r="N22">
            <v>1</v>
          </cell>
          <cell r="O22" t="str">
            <v>Main offices</v>
          </cell>
          <cell r="P22" t="str">
            <v xml:space="preserve">Open plan finance </v>
          </cell>
        </row>
        <row r="23">
          <cell r="I23" t="str">
            <v>NHC 000518</v>
          </cell>
          <cell r="J23" t="str">
            <v>Property, plant &amp; equipment, Movable assets, FURNITURE AND FITTINGS, Other Assets, Desk</v>
          </cell>
          <cell r="K23" t="str">
            <v>Desk</v>
          </cell>
          <cell r="N23">
            <v>1</v>
          </cell>
          <cell r="O23" t="str">
            <v>Main offices</v>
          </cell>
          <cell r="P23" t="str">
            <v>Open Plan Risk</v>
          </cell>
        </row>
        <row r="24">
          <cell r="I24" t="str">
            <v>NHC000601/549/550/548</v>
          </cell>
          <cell r="J24" t="str">
            <v>Property, plant &amp; equipment, Movable assets, COMPUTER EQUIPMENT, Other Assets, Server</v>
          </cell>
          <cell r="K24" t="str">
            <v>Server</v>
          </cell>
          <cell r="N24">
            <v>4</v>
          </cell>
          <cell r="O24" t="str">
            <v>Main offices</v>
          </cell>
          <cell r="P24" t="str">
            <v>R17</v>
          </cell>
        </row>
        <row r="25">
          <cell r="I25">
            <v>1660</v>
          </cell>
          <cell r="J25" t="str">
            <v>Property, plant &amp; equipment, Movable assets, COMPUTER EQUIPMENT, Other Assets, UNI-FI WI-FI ROUTER</v>
          </cell>
          <cell r="K25" t="str">
            <v>UNI-FI WI-FI ROUTER</v>
          </cell>
          <cell r="N25">
            <v>1</v>
          </cell>
          <cell r="O25" t="str">
            <v>Main offices</v>
          </cell>
          <cell r="P25" t="str">
            <v xml:space="preserve">Open plan Risk </v>
          </cell>
        </row>
        <row r="26">
          <cell r="I26">
            <v>1658</v>
          </cell>
          <cell r="J26" t="str">
            <v>Property, plant &amp; equipment, Movable assets, COMPUTER EQUIPMENT, Other Assets, UNI-FI WI-FI ROUTER</v>
          </cell>
          <cell r="K26" t="str">
            <v>UNI-FI WI-FI ROUTER</v>
          </cell>
          <cell r="N26">
            <v>1</v>
          </cell>
          <cell r="O26" t="str">
            <v>Main offices</v>
          </cell>
          <cell r="P26" t="str">
            <v xml:space="preserve">Open plan co-business </v>
          </cell>
        </row>
        <row r="27">
          <cell r="I27">
            <v>1656</v>
          </cell>
          <cell r="J27" t="str">
            <v>Property, plant &amp; equipment, Movable assets, COMPUTER EQUIPMENT, Other Assets, UNI-FI WI-FI ROUTER</v>
          </cell>
          <cell r="K27" t="str">
            <v>UNI-FI WI-FI ROUTER</v>
          </cell>
          <cell r="N27">
            <v>1</v>
          </cell>
          <cell r="O27" t="str">
            <v>Main offices</v>
          </cell>
          <cell r="P27" t="str">
            <v>Open plan finance</v>
          </cell>
        </row>
        <row r="28">
          <cell r="I28">
            <v>1654</v>
          </cell>
          <cell r="J28" t="str">
            <v>Property, plant &amp; equipment, Movable assets, COMPUTER EQUIPMENT, Other Assets, UNI-FI WI-FI ROUTER</v>
          </cell>
          <cell r="K28" t="str">
            <v>UNI-FI WI-FI ROUTER</v>
          </cell>
          <cell r="N28">
            <v>1</v>
          </cell>
          <cell r="O28" t="str">
            <v>Main offices</v>
          </cell>
          <cell r="P28" t="str">
            <v>Open plan finance</v>
          </cell>
        </row>
        <row r="29">
          <cell r="I29">
            <v>11623</v>
          </cell>
          <cell r="J29" t="str">
            <v>Property, plant &amp; equipment, Movable assets, FURNITURE AND FITTINGS, Other Assets, Training Table</v>
          </cell>
          <cell r="K29" t="str">
            <v>Training Table</v>
          </cell>
          <cell r="N29">
            <v>1</v>
          </cell>
          <cell r="O29" t="str">
            <v>Main offices</v>
          </cell>
          <cell r="P29" t="str">
            <v>R31</v>
          </cell>
        </row>
        <row r="30">
          <cell r="I30" t="str">
            <v>NHC000916</v>
          </cell>
          <cell r="J30" t="str">
            <v>Property, plant &amp; equipment, Movable assets, FURNITURE AND FITTINGS, Other Assets, DESK OFFICE  L SHAPE</v>
          </cell>
          <cell r="K30" t="str">
            <v>DESK OFFICE  L SHAPE</v>
          </cell>
          <cell r="N30">
            <v>1</v>
          </cell>
          <cell r="O30" t="str">
            <v>Main offices</v>
          </cell>
          <cell r="P30" t="str">
            <v>Open Plan core business</v>
          </cell>
        </row>
        <row r="31">
          <cell r="I31" t="str">
            <v>NHC000687</v>
          </cell>
          <cell r="J31" t="str">
            <v>Property, plant &amp; equipment, Movable assets, FURNITURE AND FITTINGS, Other Assets, CHAIR VISITOR</v>
          </cell>
          <cell r="K31" t="str">
            <v>High Back Chair*****</v>
          </cell>
          <cell r="N31">
            <v>1</v>
          </cell>
          <cell r="O31" t="str">
            <v>Main offices</v>
          </cell>
          <cell r="P31" t="str">
            <v>R4</v>
          </cell>
        </row>
        <row r="32">
          <cell r="I32" t="str">
            <v>NHC686</v>
          </cell>
          <cell r="J32" t="str">
            <v>Property, plant &amp; equipment, Movable assets, FURNITURE AND FITTINGS, Other Assets, High back leather chair</v>
          </cell>
          <cell r="K32" t="str">
            <v>High back leather chair</v>
          </cell>
          <cell r="N32">
            <v>1</v>
          </cell>
          <cell r="O32" t="str">
            <v>Main offices</v>
          </cell>
          <cell r="P32" t="str">
            <v xml:space="preserve">Open plan co-business </v>
          </cell>
        </row>
        <row r="33">
          <cell r="I33">
            <v>1839</v>
          </cell>
          <cell r="J33" t="str">
            <v>Property, plant &amp; equipment, Movable assets, FURNITURE AND FITTINGS, Other Assets, Chair</v>
          </cell>
          <cell r="K33" t="str">
            <v xml:space="preserve">Single Leather Couch </v>
          </cell>
          <cell r="N33">
            <v>1</v>
          </cell>
          <cell r="O33" t="str">
            <v>Main offices</v>
          </cell>
          <cell r="P33" t="str">
            <v>R31</v>
          </cell>
        </row>
        <row r="34">
          <cell r="I34">
            <v>1846</v>
          </cell>
          <cell r="J34" t="str">
            <v>Property, plant &amp; equipment, Movable assets, FURNITURE AND FITTINGS, Other Assets, Chair</v>
          </cell>
          <cell r="K34" t="str">
            <v xml:space="preserve">single leather chair </v>
          </cell>
          <cell r="N34">
            <v>1</v>
          </cell>
          <cell r="O34" t="str">
            <v>Main offices</v>
          </cell>
          <cell r="P34" t="str">
            <v>R31</v>
          </cell>
        </row>
        <row r="35">
          <cell r="I35">
            <v>1835</v>
          </cell>
          <cell r="J35" t="str">
            <v>Property, plant &amp; equipment, Movable assets, FURNITURE AND FITTINGS, Other Assets, Chair</v>
          </cell>
          <cell r="K35" t="str">
            <v>Single Leather Couch</v>
          </cell>
          <cell r="N35">
            <v>1</v>
          </cell>
          <cell r="O35" t="str">
            <v>Main offices</v>
          </cell>
          <cell r="P35" t="str">
            <v>R29</v>
          </cell>
        </row>
        <row r="36">
          <cell r="I36">
            <v>1890</v>
          </cell>
          <cell r="J36" t="str">
            <v>Property, plant &amp; equipment, Movable assets, FURNITURE AND FITTINGS, Other Assets, CHAIR VISITORS</v>
          </cell>
          <cell r="K36" t="str">
            <v>Leather Chair</v>
          </cell>
          <cell r="N36">
            <v>1</v>
          </cell>
          <cell r="O36" t="str">
            <v>Main offices</v>
          </cell>
          <cell r="P36" t="str">
            <v>R31</v>
          </cell>
        </row>
        <row r="37">
          <cell r="I37">
            <v>1820</v>
          </cell>
          <cell r="J37" t="str">
            <v>Property, plant &amp; equipment, Movable assets, FURNITURE AND FITTINGS, Other Assets, Chair</v>
          </cell>
          <cell r="K37" t="str">
            <v xml:space="preserve">Single Leather Couch </v>
          </cell>
          <cell r="N37">
            <v>1</v>
          </cell>
          <cell r="O37" t="str">
            <v>Main offices</v>
          </cell>
          <cell r="P37" t="str">
            <v>R29</v>
          </cell>
        </row>
        <row r="38">
          <cell r="I38">
            <v>1815</v>
          </cell>
          <cell r="J38" t="str">
            <v>Property, plant &amp; equipment, Movable assets, FURNITURE AND FITTINGS, Other Assets, CHAIR VISITOR</v>
          </cell>
          <cell r="K38" t="str">
            <v>leather chair visitor</v>
          </cell>
          <cell r="N38">
            <v>1</v>
          </cell>
          <cell r="O38" t="str">
            <v>Main offices</v>
          </cell>
          <cell r="P38" t="str">
            <v>R31</v>
          </cell>
        </row>
        <row r="39">
          <cell r="I39" t="str">
            <v>NHC 000271</v>
          </cell>
          <cell r="J39" t="str">
            <v>Property, plant &amp; equipment, Movable assets, FURNITURE AND FITTINGS, Other Assets, Rhodes Chair Leather</v>
          </cell>
          <cell r="K39" t="str">
            <v>Rhodes Chair Leather</v>
          </cell>
          <cell r="N39">
            <v>1</v>
          </cell>
          <cell r="O39" t="str">
            <v>Main offices</v>
          </cell>
          <cell r="P39" t="str">
            <v>R31</v>
          </cell>
        </row>
        <row r="40">
          <cell r="I40">
            <v>1871</v>
          </cell>
          <cell r="J40" t="str">
            <v>Property, plant &amp; equipment, Movable assets, FURNITURE AND FITTINGS, Other Assets, CHAIR VISITOR</v>
          </cell>
          <cell r="K40" t="str">
            <v>leather chair visitor</v>
          </cell>
          <cell r="N40">
            <v>1</v>
          </cell>
          <cell r="O40" t="str">
            <v>Main offices</v>
          </cell>
          <cell r="P40" t="str">
            <v>R31</v>
          </cell>
        </row>
        <row r="41">
          <cell r="I41">
            <v>1888</v>
          </cell>
          <cell r="J41" t="str">
            <v>Property, plant &amp; equipment, Movable assets, FURNITURE AND FITTINGS, Other Assets, CHAIR VISITOR</v>
          </cell>
          <cell r="K41" t="str">
            <v>leather chair visitor</v>
          </cell>
          <cell r="N41">
            <v>1</v>
          </cell>
          <cell r="O41" t="str">
            <v>Main offices</v>
          </cell>
          <cell r="P41" t="str">
            <v>R31</v>
          </cell>
        </row>
        <row r="42">
          <cell r="I42">
            <v>1805</v>
          </cell>
          <cell r="J42" t="str">
            <v>Property, plant &amp; equipment, Movable assets, FURNITURE AND FITTINGS, Other Assets, CHAIR VISITOR</v>
          </cell>
          <cell r="K42" t="str">
            <v>leather chair visitor</v>
          </cell>
          <cell r="N42">
            <v>1</v>
          </cell>
          <cell r="O42" t="str">
            <v>Main offices</v>
          </cell>
          <cell r="P42" t="str">
            <v>R31</v>
          </cell>
        </row>
        <row r="43">
          <cell r="I43">
            <v>1028</v>
          </cell>
          <cell r="J43" t="str">
            <v>Property, plant &amp; equipment, Movable assets, FURNITURE AND FITTINGS, Other Assets, Wood Cabinet</v>
          </cell>
          <cell r="K43" t="str">
            <v>5 Drawer Cabinet</v>
          </cell>
          <cell r="N43">
            <v>1</v>
          </cell>
          <cell r="O43" t="str">
            <v>Main offices</v>
          </cell>
          <cell r="P43" t="str">
            <v>R31</v>
          </cell>
        </row>
        <row r="44">
          <cell r="I44" t="str">
            <v>001954</v>
          </cell>
          <cell r="J44" t="str">
            <v>Property, plant &amp; equipment, Movable assets, COMPUTER EQUIPMENT, Other Assets, LENOVO LAPTOP/Mandla - Lungile</v>
          </cell>
          <cell r="K44" t="str">
            <v>lenovo laptop</v>
          </cell>
          <cell r="L44" t="str">
            <v>pW082B01PWN0B3A10004</v>
          </cell>
          <cell r="N44">
            <v>1</v>
          </cell>
          <cell r="O44" t="str">
            <v>Main offices</v>
          </cell>
          <cell r="P44" t="str">
            <v>Open Plan HR</v>
          </cell>
        </row>
        <row r="45">
          <cell r="I45" t="str">
            <v>001880</v>
          </cell>
          <cell r="J45" t="str">
            <v>Property, plant &amp; equipment, Movable assets, OFFICE EQUIPMENT AND TOOLS, Other Assets, Microwave</v>
          </cell>
          <cell r="K45" t="str">
            <v>Microwave</v>
          </cell>
          <cell r="N45">
            <v>1</v>
          </cell>
          <cell r="O45" t="str">
            <v>Main offices</v>
          </cell>
          <cell r="P45" t="str">
            <v>R 7</v>
          </cell>
        </row>
        <row r="46">
          <cell r="I46" t="str">
            <v>000605</v>
          </cell>
          <cell r="J46" t="str">
            <v>Property, plant &amp; equipment, Movable assets, OFFICE EQUIPMENT AND TOOLS, Other Assets, Microwave</v>
          </cell>
          <cell r="K46" t="str">
            <v>Microwave</v>
          </cell>
          <cell r="N46">
            <v>1</v>
          </cell>
          <cell r="O46" t="str">
            <v>Main offices</v>
          </cell>
          <cell r="P46" t="str">
            <v>R 7</v>
          </cell>
        </row>
        <row r="47">
          <cell r="I47">
            <v>1096</v>
          </cell>
          <cell r="J47" t="str">
            <v>Property, plant &amp; equipment, Movable assets, OFFICE EQUIPMENT AND TOOLS, Other Assets, BLUETOOTH SCANNER</v>
          </cell>
          <cell r="K47" t="str">
            <v>BLUETOOTH SCANNER</v>
          </cell>
          <cell r="N47">
            <v>1</v>
          </cell>
          <cell r="O47" t="str">
            <v>Main offices</v>
          </cell>
          <cell r="P47" t="str">
            <v>Open plan Risk</v>
          </cell>
        </row>
        <row r="48">
          <cell r="I48" t="str">
            <v>nhc000945</v>
          </cell>
          <cell r="J48" t="str">
            <v>Property, plant &amp; equipment, Movable assets, FURNITURE AND FITTINGS, Other Assets, Cupboards 1500 wood</v>
          </cell>
          <cell r="K48" t="str">
            <v>Cupboards 1500 wood</v>
          </cell>
          <cell r="N48">
            <v>1</v>
          </cell>
          <cell r="O48" t="str">
            <v>Main offices</v>
          </cell>
          <cell r="P48" t="str">
            <v>Open plan Risk</v>
          </cell>
        </row>
        <row r="49">
          <cell r="I49">
            <v>1224</v>
          </cell>
          <cell r="J49" t="str">
            <v>Property, plant &amp; equipment, Movable assets, FURNITURE AND FITTINGS, Other Assets, Mobile Pedestal</v>
          </cell>
          <cell r="K49" t="str">
            <v>Mobile Pedestal</v>
          </cell>
          <cell r="N49">
            <v>1</v>
          </cell>
          <cell r="O49" t="str">
            <v>Main offices</v>
          </cell>
          <cell r="P49" t="str">
            <v>R13</v>
          </cell>
        </row>
        <row r="50">
          <cell r="I50" t="str">
            <v>NHC000699</v>
          </cell>
          <cell r="J50" t="str">
            <v>Property, plant &amp; equipment, Movable assets, FURNITURE AND FITTINGS, Other Assets, CHAIR HIGHBACK LEATHER</v>
          </cell>
          <cell r="K50" t="str">
            <v>CHAIR HIGHBACK LEATHER</v>
          </cell>
          <cell r="N50">
            <v>1</v>
          </cell>
          <cell r="O50" t="str">
            <v>Main offices</v>
          </cell>
          <cell r="P50" t="str">
            <v>Open Plan finance</v>
          </cell>
        </row>
        <row r="51">
          <cell r="I51" t="str">
            <v>NHC000892</v>
          </cell>
          <cell r="J51" t="str">
            <v>Property, plant &amp; equipment, Movable assets, FURNITURE AND FITTINGS, Other Assets, High Back Chair</v>
          </cell>
          <cell r="K51" t="str">
            <v>High Back Chair</v>
          </cell>
          <cell r="N51">
            <v>1</v>
          </cell>
          <cell r="O51" t="str">
            <v>Main offices</v>
          </cell>
          <cell r="P51" t="str">
            <v>Open Plan Risk</v>
          </cell>
        </row>
        <row r="52">
          <cell r="I52" t="str">
            <v>NHC000868</v>
          </cell>
          <cell r="J52" t="str">
            <v>Property, plant &amp; equipment, Movable assets, COMPUTER EQUIPMENT, Other Assets, LCD Projector</v>
          </cell>
          <cell r="K52" t="str">
            <v>LCD Projector</v>
          </cell>
          <cell r="L52" t="str">
            <v>SD1144440</v>
          </cell>
          <cell r="N52">
            <v>1</v>
          </cell>
          <cell r="O52" t="str">
            <v>Main offices</v>
          </cell>
          <cell r="P52" t="str">
            <v>R2</v>
          </cell>
        </row>
        <row r="53">
          <cell r="I53" t="str">
            <v>NHC000501</v>
          </cell>
          <cell r="J53" t="str">
            <v>Property, plant &amp; equipment, Movable assets, FURNITURE AND FITTINGS, Other Assets, Hinged Door Cabinet</v>
          </cell>
          <cell r="K53" t="str">
            <v>Hinged Door Cabinet</v>
          </cell>
          <cell r="N53">
            <v>1</v>
          </cell>
          <cell r="O53" t="str">
            <v>Main offices</v>
          </cell>
          <cell r="P53" t="str">
            <v xml:space="preserve">Open plan co-business </v>
          </cell>
        </row>
        <row r="54">
          <cell r="I54" t="str">
            <v>NHC 000593</v>
          </cell>
          <cell r="J54" t="str">
            <v>Property, plant &amp; equipment, Movable assets, FURNITURE AND FITTINGS, Other Assets, Cabinet</v>
          </cell>
          <cell r="K54" t="str">
            <v>Cabinet</v>
          </cell>
          <cell r="N54">
            <v>1</v>
          </cell>
          <cell r="O54" t="str">
            <v>Main offices</v>
          </cell>
          <cell r="P54" t="str">
            <v xml:space="preserve">Open plan co-business </v>
          </cell>
        </row>
        <row r="55">
          <cell r="I55">
            <v>1293</v>
          </cell>
          <cell r="J55" t="str">
            <v>Property, plant &amp; equipment, Movable assets, COMPUTER EQUIPMENT, Other Assets, DELL LAPTOP/Kagiso</v>
          </cell>
          <cell r="K55" t="str">
            <v>DELL LAPTOP/Kagiso</v>
          </cell>
          <cell r="N55">
            <v>1</v>
          </cell>
          <cell r="O55" t="str">
            <v>Main offices</v>
          </cell>
          <cell r="P55" t="str">
            <v xml:space="preserve"> R1</v>
          </cell>
        </row>
        <row r="56">
          <cell r="I56">
            <v>1949</v>
          </cell>
          <cell r="J56" t="str">
            <v>Property, plant &amp; equipment, Movable assets, COMPUTER EQUIPMENT, Other Assets, Lenovo Laptop - Matanato Ngwaila</v>
          </cell>
          <cell r="K56" t="str">
            <v>Lenovo Laptop - Matanato Ngwaila</v>
          </cell>
          <cell r="N56">
            <v>1</v>
          </cell>
          <cell r="O56" t="str">
            <v>Main offices</v>
          </cell>
          <cell r="P56" t="str">
            <v xml:space="preserve">Open plan co- business </v>
          </cell>
        </row>
        <row r="57">
          <cell r="I57">
            <v>1973</v>
          </cell>
          <cell r="J57" t="str">
            <v>Property, plant &amp; equipment, Movable assets, COMPUTER EQUIPMENT, Other Assets, Lenovo Laptop - Simon Nkosi</v>
          </cell>
          <cell r="K57" t="str">
            <v>Lenovo Laptop - Simon Nkosi</v>
          </cell>
          <cell r="N57">
            <v>1</v>
          </cell>
          <cell r="O57" t="str">
            <v>Main offices</v>
          </cell>
          <cell r="P57" t="str">
            <v xml:space="preserve">Open plan co- business </v>
          </cell>
        </row>
        <row r="58">
          <cell r="I58">
            <v>1110</v>
          </cell>
          <cell r="J58" t="str">
            <v>Property, plant &amp; equipment, Movable assets, COMPUTER EQUIPMENT, Other Assets, Dell Laptop</v>
          </cell>
          <cell r="K58" t="str">
            <v>Dell Laptop</v>
          </cell>
          <cell r="N58">
            <v>1</v>
          </cell>
          <cell r="O58" t="str">
            <v>Main offices</v>
          </cell>
          <cell r="P58" t="str">
            <v xml:space="preserve">Open plan co- business </v>
          </cell>
        </row>
        <row r="59">
          <cell r="I59">
            <v>1563</v>
          </cell>
          <cell r="J59" t="str">
            <v>Property, plant &amp; equipment, Movable assets, COMPUTER EQUIPMENT, Other Assets, DELL LAPTOP/Spare</v>
          </cell>
          <cell r="K59" t="str">
            <v>DELL LAPTOP/Spare</v>
          </cell>
          <cell r="N59">
            <v>1</v>
          </cell>
          <cell r="O59" t="str">
            <v>Main offices</v>
          </cell>
          <cell r="P59" t="str">
            <v xml:space="preserve">Open plan co- business </v>
          </cell>
        </row>
        <row r="60">
          <cell r="I60" t="str">
            <v>NHC000860</v>
          </cell>
          <cell r="J60" t="str">
            <v>Property, plant &amp; equipment, Movable assets, FURNITURE AND FITTINGS, Other Assets, Wood Cabinet</v>
          </cell>
          <cell r="K60" t="str">
            <v>Wood Cabinet</v>
          </cell>
          <cell r="N60">
            <v>1</v>
          </cell>
          <cell r="O60" t="str">
            <v>Main offices</v>
          </cell>
          <cell r="P60" t="str">
            <v xml:space="preserve">Open plan co- business </v>
          </cell>
        </row>
        <row r="61">
          <cell r="I61" t="str">
            <v>NHC000652-2</v>
          </cell>
          <cell r="J61" t="str">
            <v>Property, plant &amp; equipment, Movable assets, OFFICE EQUIPMENT AND TOOLS, Other Assets, shredder rexel</v>
          </cell>
          <cell r="K61" t="str">
            <v>shredder rexel</v>
          </cell>
          <cell r="N61">
            <v>1</v>
          </cell>
          <cell r="O61" t="str">
            <v>Main offices</v>
          </cell>
          <cell r="P61" t="str">
            <v xml:space="preserve">Open plan co- business </v>
          </cell>
        </row>
        <row r="62">
          <cell r="I62" t="str">
            <v>NHC001013</v>
          </cell>
          <cell r="J62" t="str">
            <v>Property, plant &amp; equipment, Movable assets, FURNITURE AND FITTINGS, Other Assets, Adjustable Medical Bed</v>
          </cell>
          <cell r="K62" t="str">
            <v>Adjustable Medical Bed</v>
          </cell>
          <cell r="N62">
            <v>1</v>
          </cell>
          <cell r="O62" t="str">
            <v>Main offices</v>
          </cell>
          <cell r="P62" t="str">
            <v xml:space="preserve">Basement </v>
          </cell>
        </row>
        <row r="63">
          <cell r="I63" t="str">
            <v>NHC000296</v>
          </cell>
          <cell r="J63" t="str">
            <v>Property, plant &amp; equipment, Movable assets, FURNITURE AND FITTINGS, Other Assets, 4 Drawer cabinet</v>
          </cell>
          <cell r="K63" t="str">
            <v>4 Drawer cabinet</v>
          </cell>
          <cell r="N63">
            <v>1</v>
          </cell>
          <cell r="O63" t="str">
            <v>Main offices</v>
          </cell>
          <cell r="P63" t="str">
            <v xml:space="preserve">Open plan co-business </v>
          </cell>
        </row>
        <row r="64">
          <cell r="I64">
            <v>1943</v>
          </cell>
          <cell r="J64" t="str">
            <v>Property, plant &amp; equipment, Movable assets, COMPUTER EQUIPMENT, Other Assets, Lenovo Laptop - Dr Manetsi</v>
          </cell>
          <cell r="K64" t="str">
            <v>Lenovo Laptop - Dr Manetsi</v>
          </cell>
          <cell r="L64" t="str">
            <v>pW08SYS3PWN0B3B24001</v>
          </cell>
          <cell r="N64">
            <v>1</v>
          </cell>
          <cell r="O64" t="str">
            <v>Main offices</v>
          </cell>
          <cell r="P64" t="str">
            <v>R13</v>
          </cell>
        </row>
        <row r="65">
          <cell r="I65" t="str">
            <v>NHC000681</v>
          </cell>
          <cell r="J65" t="str">
            <v>Property, plant &amp; equipment, Movable assets, FURNITURE AND FITTINGS, Other Assets, CHAIR HIGHBACK LEATHER</v>
          </cell>
          <cell r="K65" t="str">
            <v>CHAIR HIGHBACK LEATHER</v>
          </cell>
          <cell r="N65">
            <v>1</v>
          </cell>
          <cell r="O65" t="str">
            <v>Main offices</v>
          </cell>
          <cell r="P65" t="str">
            <v xml:space="preserve">R3 </v>
          </cell>
        </row>
        <row r="66">
          <cell r="I66" t="str">
            <v>NHC0074</v>
          </cell>
          <cell r="J66" t="str">
            <v>Property, plant &amp; equipment, Movable assets, FURNITURE AND FITTINGS, Other Assets, 3 Drawer pedestal</v>
          </cell>
          <cell r="K66" t="str">
            <v>3 Drawer pedestal</v>
          </cell>
          <cell r="N66">
            <v>1</v>
          </cell>
          <cell r="O66" t="str">
            <v>Main offices</v>
          </cell>
          <cell r="P66" t="str">
            <v>R3</v>
          </cell>
        </row>
        <row r="67">
          <cell r="I67">
            <v>1226</v>
          </cell>
          <cell r="J67" t="str">
            <v>Property, plant &amp; equipment, Movable assets, FURNITURE AND FITTINGS, Other Assets, Mobile Pedestal</v>
          </cell>
          <cell r="K67" t="str">
            <v>Mobile Pedestal</v>
          </cell>
          <cell r="N67">
            <v>1</v>
          </cell>
          <cell r="O67" t="str">
            <v>Main offices</v>
          </cell>
          <cell r="P67" t="str">
            <v>Open plan finance</v>
          </cell>
        </row>
        <row r="68">
          <cell r="I68">
            <v>1965</v>
          </cell>
          <cell r="J68" t="str">
            <v>Property, plant &amp; equipment, Movable assets, COMPUTER EQUIPMENT, Other Assets, Lenovo Laptop - Sindisiwe Zawana</v>
          </cell>
          <cell r="K68" t="str">
            <v>Lenovo Laptop - Sindisiwe Zawana</v>
          </cell>
          <cell r="L68" t="str">
            <v>PW08SYRY</v>
          </cell>
          <cell r="N68">
            <v>1</v>
          </cell>
          <cell r="O68" t="str">
            <v>Main offices</v>
          </cell>
          <cell r="P68" t="str">
            <v>Open plan finance</v>
          </cell>
        </row>
        <row r="69">
          <cell r="I69" t="str">
            <v>001460</v>
          </cell>
          <cell r="J69" t="str">
            <v>Property, plant &amp; equipment, Movable assets, COMPUTER EQUIPMENT, Other Assets, Server</v>
          </cell>
          <cell r="K69" t="str">
            <v>Unifi switch</v>
          </cell>
          <cell r="N69">
            <v>1</v>
          </cell>
          <cell r="O69" t="str">
            <v>Main offices</v>
          </cell>
          <cell r="P69" t="str">
            <v xml:space="preserve">R2 Open plan finance </v>
          </cell>
        </row>
        <row r="70">
          <cell r="I70" t="str">
            <v>002000</v>
          </cell>
          <cell r="J70" t="str">
            <v>Property, plant &amp; equipment, Movable assets, COMPUTER EQUIPMENT, Other Assets, Lenovo Laptop - Bongeka Buthelezi</v>
          </cell>
          <cell r="K70" t="str">
            <v>lenovo Nceba</v>
          </cell>
          <cell r="L70" t="str">
            <v>pW0DYF7SPWN0B4A04008</v>
          </cell>
          <cell r="N70">
            <v>1</v>
          </cell>
          <cell r="O70" t="str">
            <v>Main offices</v>
          </cell>
          <cell r="P70" t="str">
            <v>Server room finance</v>
          </cell>
        </row>
        <row r="71">
          <cell r="I71" t="str">
            <v>001888</v>
          </cell>
          <cell r="J71" t="str">
            <v>Property, plant &amp; equipment, Movable assets, FURNITURE AND FITTINGS, Other Assets, Chair</v>
          </cell>
          <cell r="K71" t="str">
            <v>leather chair</v>
          </cell>
          <cell r="N71">
            <v>1</v>
          </cell>
          <cell r="O71" t="str">
            <v>Main offices</v>
          </cell>
          <cell r="P71" t="str">
            <v>R31</v>
          </cell>
        </row>
        <row r="72">
          <cell r="I72" t="str">
            <v>001969</v>
          </cell>
          <cell r="J72" t="str">
            <v>Property, plant &amp; equipment, Movable assets, COMPUTER EQUIPMENT, Other Assets, Lenovo Thinking Pad</v>
          </cell>
          <cell r="K72" t="str">
            <v>Lenovo laptop- T.Maso</v>
          </cell>
          <cell r="L72" t="str">
            <v>https://support.lenovo.com/qrcode?sn=PW0DYF7F&amp;mtm=82R700FESA</v>
          </cell>
          <cell r="N72">
            <v>1</v>
          </cell>
          <cell r="O72" t="str">
            <v>Main offices</v>
          </cell>
          <cell r="P72" t="str">
            <v xml:space="preserve">Open Plan co-business </v>
          </cell>
        </row>
        <row r="73">
          <cell r="I73" t="str">
            <v>001842</v>
          </cell>
          <cell r="J73" t="str">
            <v>Property, plant &amp; equipment, Movable assets, FURNITURE AND FITTINGS, Other Assets, CHAIR VISITOR</v>
          </cell>
          <cell r="K73" t="str">
            <v>leather chair visitor</v>
          </cell>
          <cell r="N73">
            <v>1</v>
          </cell>
          <cell r="O73" t="str">
            <v>Main offices</v>
          </cell>
          <cell r="P73" t="str">
            <v>R31</v>
          </cell>
        </row>
        <row r="74">
          <cell r="I74" t="str">
            <v>001890</v>
          </cell>
          <cell r="J74" t="str">
            <v>Property, plant &amp; equipment, Movable assets, FURNITURE AND FITTINGS, Other Assets, CHAIR VISITOR</v>
          </cell>
          <cell r="K74" t="str">
            <v>leather chair visitor</v>
          </cell>
          <cell r="N74">
            <v>1</v>
          </cell>
          <cell r="O74" t="str">
            <v>Main offices</v>
          </cell>
          <cell r="P74" t="str">
            <v>R31</v>
          </cell>
        </row>
        <row r="75">
          <cell r="I75" t="str">
            <v>001955</v>
          </cell>
          <cell r="J75" t="str">
            <v>Property, plant &amp; equipment, Movable assets, COMPUTER EQUIPMENT, Other Assets, Lenovo Laptop - Lungile Zwane</v>
          </cell>
          <cell r="K75" t="str">
            <v>Lenovo Laptop - Lungile Zwane</v>
          </cell>
          <cell r="L75" t="str">
            <v>https://support.lenovo.com/qrcode?sn=PW08AZ56&amp;mtm=82Y00054SA</v>
          </cell>
          <cell r="N75">
            <v>1</v>
          </cell>
          <cell r="O75" t="str">
            <v>Main offices</v>
          </cell>
          <cell r="P75" t="str">
            <v xml:space="preserve">Open plan finance </v>
          </cell>
        </row>
        <row r="76">
          <cell r="I76" t="str">
            <v>001951</v>
          </cell>
          <cell r="J76" t="str">
            <v>Property, plant &amp; equipment, Movable assets, COMPUTER EQUIPMENT, Other Assets, Lenovo Thinking Pad</v>
          </cell>
          <cell r="K76" t="str">
            <v>Lenovo- M. MANENZHE</v>
          </cell>
          <cell r="L76" t="str">
            <v>https://support.lenovo.com/qrcode?sn=PW08SYQN&amp;mtm=82Y00054SA</v>
          </cell>
          <cell r="N76">
            <v>1</v>
          </cell>
          <cell r="O76" t="str">
            <v>Main offices</v>
          </cell>
          <cell r="P76" t="str">
            <v xml:space="preserve">R3 </v>
          </cell>
        </row>
        <row r="77">
          <cell r="I77" t="str">
            <v>NHC000939</v>
          </cell>
          <cell r="J77" t="str">
            <v>Property, plant &amp; equipment, Movable assets, COMPUTER EQUIPMENT, Other Assets, Dell Inspiron 5545 Notebook/Eudie old</v>
          </cell>
          <cell r="K77" t="str">
            <v>Dell Inspiron 5545 Notebook/Eudie old</v>
          </cell>
          <cell r="L77" t="str">
            <v>4GH4Y32</v>
          </cell>
          <cell r="N77">
            <v>1</v>
          </cell>
          <cell r="O77" t="str">
            <v>Main offices</v>
          </cell>
          <cell r="P77" t="str">
            <v xml:space="preserve">Basement </v>
          </cell>
        </row>
        <row r="78">
          <cell r="I78">
            <v>1105</v>
          </cell>
          <cell r="J78" t="str">
            <v>Property, plant &amp; equipment, Movable assets, COMPUTER EQUIPMENT, Other Assets, Dell Laptop (Matime New)</v>
          </cell>
          <cell r="K78" t="str">
            <v>Dell Laptop (Matime New)</v>
          </cell>
          <cell r="N78">
            <v>1</v>
          </cell>
          <cell r="O78" t="str">
            <v>Main offices</v>
          </cell>
          <cell r="P78" t="str">
            <v>Basement storage</v>
          </cell>
        </row>
        <row r="79">
          <cell r="I79">
            <v>1764</v>
          </cell>
          <cell r="J79" t="str">
            <v>Property, plant &amp; equipment, Movable assets, COMPUTER EQUIPMENT, Other Assets, Lenovo Thinking Pad</v>
          </cell>
          <cell r="K79" t="str">
            <v>Lenovo Thinking Pad</v>
          </cell>
          <cell r="L79" t="str">
            <v>1s21F2002YZAPF4F3MNK</v>
          </cell>
          <cell r="N79">
            <v>1</v>
          </cell>
          <cell r="O79" t="str">
            <v>Main offices</v>
          </cell>
          <cell r="P79" t="str">
            <v xml:space="preserve">Open plan Risk </v>
          </cell>
        </row>
        <row r="80">
          <cell r="I80" t="str">
            <v>001964</v>
          </cell>
          <cell r="J80" t="str">
            <v>Property, plant &amp; equipment, Movable assets, COMPUTER EQUIPMENT, Other Assets, Lenovo Thinking Pad</v>
          </cell>
          <cell r="K80" t="str">
            <v>Lenovo- A.Mbuli</v>
          </cell>
          <cell r="L80" t="str">
            <v>https://support.lenovo.com/qrcode?sn=PW089WDX&amp;mtm=82Y00054SA</v>
          </cell>
          <cell r="N80">
            <v>1</v>
          </cell>
          <cell r="O80" t="str">
            <v>Main offices</v>
          </cell>
          <cell r="P80" t="str">
            <v xml:space="preserve">Open plan Risk </v>
          </cell>
        </row>
        <row r="81">
          <cell r="I81" t="str">
            <v>001649</v>
          </cell>
          <cell r="J81" t="str">
            <v>Property, plant &amp; equipment, Movable assets, COMPUTER EQUIPMENT, Other Assets, Lenovo Thinking Pad</v>
          </cell>
          <cell r="K81" t="str">
            <v>J.Mlilo</v>
          </cell>
          <cell r="L81" t="str">
            <v>https://support.lenovo.com/qrcode?sn=PW0DYF80&amp;mtm=82R700FESA</v>
          </cell>
          <cell r="N81">
            <v>1</v>
          </cell>
          <cell r="O81" t="str">
            <v>Main offices</v>
          </cell>
          <cell r="P81" t="str">
            <v>R5</v>
          </cell>
        </row>
        <row r="82">
          <cell r="I82">
            <v>1951</v>
          </cell>
          <cell r="J82" t="str">
            <v>Property, plant &amp; equipment, Movable assets, COMPUTER EQUIPMENT, Other Assets, Lenovo Laptop - Dr Manetsi</v>
          </cell>
          <cell r="K82" t="str">
            <v>Lenovo- T.Manetsi</v>
          </cell>
          <cell r="N82">
            <v>1</v>
          </cell>
          <cell r="O82" t="str">
            <v>Main offices</v>
          </cell>
          <cell r="P82" t="str">
            <v>R13</v>
          </cell>
        </row>
        <row r="83">
          <cell r="I83" t="str">
            <v>001556</v>
          </cell>
          <cell r="J83" t="str">
            <v>Property, plant &amp; equipment, Movable assets, COMPUTER EQUIPMENT, Other Assets, Laptop Dell Mobile Precision Workstation 3561 CTO</v>
          </cell>
          <cell r="K83" t="str">
            <v>Dell Laptop</v>
          </cell>
          <cell r="N83">
            <v>1</v>
          </cell>
          <cell r="O83" t="str">
            <v>Main offices</v>
          </cell>
          <cell r="P83" t="str">
            <v>R1</v>
          </cell>
        </row>
        <row r="84">
          <cell r="I84" t="str">
            <v>001856</v>
          </cell>
          <cell r="J84" t="str">
            <v>Property, plant &amp; equipment, Movable assets, COMPUTER EQUIPMENT, Other Assets, Laptop Dell Mobile Precision Workstation 3561 CTO</v>
          </cell>
          <cell r="K84" t="str">
            <v>Dell laptop</v>
          </cell>
          <cell r="L84" t="str">
            <v>CRv5tl3</v>
          </cell>
          <cell r="N84">
            <v>1</v>
          </cell>
          <cell r="O84" t="str">
            <v>Main offices</v>
          </cell>
          <cell r="P84" t="str">
            <v>Open Plan finance</v>
          </cell>
        </row>
        <row r="85">
          <cell r="I85" t="str">
            <v>001968</v>
          </cell>
          <cell r="J85" t="str">
            <v>Property, plant &amp; equipment, Movable assets, COMPUTER EQUIPMENT, Other Assets, Lenovo Laptop - Bongeka Buthelezi</v>
          </cell>
          <cell r="K85" t="str">
            <v xml:space="preserve">lenovo laptop </v>
          </cell>
          <cell r="N85">
            <v>1</v>
          </cell>
          <cell r="O85" t="str">
            <v>Main offices</v>
          </cell>
          <cell r="P85" t="str">
            <v>Open Plan finance</v>
          </cell>
        </row>
        <row r="86">
          <cell r="I86" t="str">
            <v>NHC000671</v>
          </cell>
          <cell r="J86" t="str">
            <v>Property, plant &amp; equipment, Movable assets, FURNITURE AND FITTINGS, Other Assets, CHAIR HIGHBACK LEATHER</v>
          </cell>
          <cell r="K86" t="str">
            <v>CHAIR HIGHBACK LEATHER</v>
          </cell>
          <cell r="N86">
            <v>1</v>
          </cell>
          <cell r="O86" t="str">
            <v>Main offices</v>
          </cell>
          <cell r="P86" t="str">
            <v xml:space="preserve">Open plan Communication </v>
          </cell>
        </row>
        <row r="87">
          <cell r="I87">
            <v>1601</v>
          </cell>
          <cell r="J87" t="str">
            <v>Property, plant &amp; equipment, Movable assets, OFFICE EQUIPMENT AND TOOLS, Other Assets, PRINTER</v>
          </cell>
          <cell r="K87" t="str">
            <v xml:space="preserve">Office chair </v>
          </cell>
          <cell r="N87">
            <v>1</v>
          </cell>
          <cell r="O87" t="str">
            <v>Main offices</v>
          </cell>
          <cell r="P87" t="str">
            <v xml:space="preserve">Open plan Co-Business </v>
          </cell>
        </row>
        <row r="88">
          <cell r="I88" t="str">
            <v>NHC804</v>
          </cell>
          <cell r="J88" t="str">
            <v>Property, plant &amp; equipment, Movable assets, FURNITURE AND FITTINGS, Other Assets, Visitors chair</v>
          </cell>
          <cell r="K88" t="str">
            <v>Visitors chair</v>
          </cell>
          <cell r="N88">
            <v>1</v>
          </cell>
          <cell r="O88" t="str">
            <v>Main offices</v>
          </cell>
          <cell r="P88" t="str">
            <v>Open plan Risk</v>
          </cell>
        </row>
        <row r="89">
          <cell r="I89">
            <v>1113</v>
          </cell>
          <cell r="J89" t="str">
            <v>Property, plant &amp; equipment, Movable assets, FURNITURE AND FITTINGS, Other Assets, Round Table</v>
          </cell>
          <cell r="K89" t="str">
            <v>Round Table</v>
          </cell>
          <cell r="N89">
            <v>1</v>
          </cell>
          <cell r="O89" t="str">
            <v>Main offices</v>
          </cell>
          <cell r="P89" t="str">
            <v xml:space="preserve">Open plan finance </v>
          </cell>
        </row>
        <row r="90">
          <cell r="I90" t="str">
            <v>NHC000682</v>
          </cell>
          <cell r="J90" t="str">
            <v>Property, plant &amp; equipment, Movable assets, FURNITURE AND FITTINGS, Other Assets, CHAIR HIGHBACK LEATHER</v>
          </cell>
          <cell r="K90" t="str">
            <v>CHAIR HIGHBACK LEATHER</v>
          </cell>
          <cell r="N90">
            <v>1</v>
          </cell>
          <cell r="O90" t="str">
            <v>Main offices</v>
          </cell>
          <cell r="P90" t="str">
            <v>Open plan Office finance</v>
          </cell>
        </row>
        <row r="91">
          <cell r="I91">
            <v>1138</v>
          </cell>
          <cell r="J91" t="str">
            <v>Property, plant &amp; equipment, Movable assets, FURNITURE AND FITTINGS, Other Assets, Rectangular Workshop/ Desk</v>
          </cell>
          <cell r="K91" t="str">
            <v>Rectangular Workshop/ Desk</v>
          </cell>
          <cell r="N91">
            <v>1</v>
          </cell>
          <cell r="O91" t="str">
            <v>Main offices</v>
          </cell>
          <cell r="P91" t="str">
            <v>Open Plan finance</v>
          </cell>
        </row>
        <row r="92">
          <cell r="I92">
            <v>1127</v>
          </cell>
          <cell r="J92" t="str">
            <v>Property, plant &amp; equipment, Movable assets, FURNITURE AND FITTINGS, Other Assets, Rectangular Workshop/ Desk</v>
          </cell>
          <cell r="K92" t="str">
            <v>Rectangular Workshop/ Desk</v>
          </cell>
          <cell r="N92">
            <v>1</v>
          </cell>
          <cell r="O92" t="str">
            <v>Main offices</v>
          </cell>
          <cell r="P92" t="str">
            <v xml:space="preserve">Open Plan co-business </v>
          </cell>
        </row>
        <row r="93">
          <cell r="I93" t="str">
            <v>NHC841</v>
          </cell>
          <cell r="J93" t="str">
            <v>Property, plant &amp; equipment, Movable assets, FURNITURE AND FITTINGS, Other Assets, High black chair</v>
          </cell>
          <cell r="K93" t="str">
            <v>High black chair</v>
          </cell>
          <cell r="N93">
            <v>1</v>
          </cell>
          <cell r="O93" t="str">
            <v>Main offices</v>
          </cell>
          <cell r="P93" t="str">
            <v>R23</v>
          </cell>
        </row>
        <row r="94">
          <cell r="I94" t="str">
            <v>NHC0073</v>
          </cell>
          <cell r="J94" t="str">
            <v>Property, plant &amp; equipment, Movable assets, FURNITURE AND FITTINGS, Other Assets, 3drawer Pedestal</v>
          </cell>
          <cell r="K94" t="str">
            <v>3drawer Pedestal</v>
          </cell>
          <cell r="N94">
            <v>1</v>
          </cell>
          <cell r="O94" t="str">
            <v>Main offices</v>
          </cell>
          <cell r="P94" t="str">
            <v>Open Plan finance</v>
          </cell>
        </row>
        <row r="95">
          <cell r="I95" t="str">
            <v>NHC000676</v>
          </cell>
          <cell r="J95" t="str">
            <v>Property, plant &amp; equipment, Movable assets, FURNITURE AND FITTINGS, Other Assets, CHAIR VISITOR</v>
          </cell>
          <cell r="K95" t="str">
            <v>CHAIR VISITOR</v>
          </cell>
          <cell r="N95">
            <v>1</v>
          </cell>
          <cell r="O95" t="str">
            <v>Main offices</v>
          </cell>
          <cell r="P95" t="str">
            <v xml:space="preserve">Basement </v>
          </cell>
        </row>
        <row r="96">
          <cell r="I96" t="str">
            <v>000562</v>
          </cell>
          <cell r="J96" t="str">
            <v>Property, plant &amp; equipment, Movable assets, FURNITURE AND FITTINGS, Other Assets, Tea Trolley</v>
          </cell>
          <cell r="K96" t="str">
            <v>Tea Trolley</v>
          </cell>
          <cell r="N96">
            <v>1</v>
          </cell>
          <cell r="O96" t="str">
            <v>Main offices</v>
          </cell>
          <cell r="P96" t="str">
            <v xml:space="preserve">R16 </v>
          </cell>
        </row>
        <row r="97">
          <cell r="I97" t="str">
            <v>NHC000385</v>
          </cell>
          <cell r="J97" t="str">
            <v>Property, plant &amp; equipment, Movable assets, FURNITURE AND FITTINGS, Other Assets, Desk</v>
          </cell>
          <cell r="K97" t="str">
            <v>Desk</v>
          </cell>
          <cell r="N97">
            <v>1</v>
          </cell>
          <cell r="O97" t="str">
            <v>Main offices</v>
          </cell>
          <cell r="P97" t="str">
            <v xml:space="preserve">R16 </v>
          </cell>
        </row>
        <row r="98">
          <cell r="I98" t="str">
            <v>000917</v>
          </cell>
          <cell r="J98" t="str">
            <v>Property, plant &amp; equipment, Movable assets, FURNITURE AND FITTINGS, Other Assets, HIGH BACK LEATHER/NETTING CHAIR</v>
          </cell>
          <cell r="K98" t="str">
            <v>HIGH BACK LEATHER/NETTING CHAIR</v>
          </cell>
          <cell r="N98">
            <v>1</v>
          </cell>
          <cell r="O98" t="str">
            <v>Main offices</v>
          </cell>
          <cell r="P98" t="str">
            <v>Basement storage</v>
          </cell>
        </row>
        <row r="99">
          <cell r="I99" t="str">
            <v>NHC000700</v>
          </cell>
          <cell r="J99" t="str">
            <v>Property, plant &amp; equipment, Movable assets, FURNITURE AND FITTINGS, Other Assets, CHAIR HIGHBACK NETTING</v>
          </cell>
          <cell r="K99" t="str">
            <v>CHAIR HIGHBACK NETTING</v>
          </cell>
          <cell r="N99">
            <v>1</v>
          </cell>
          <cell r="O99" t="str">
            <v>Main offices</v>
          </cell>
          <cell r="P99" t="str">
            <v>Basement storage</v>
          </cell>
        </row>
        <row r="100">
          <cell r="I100" t="str">
            <v>NHC102</v>
          </cell>
          <cell r="J100" t="str">
            <v>Property, plant &amp; equipment, Movable assets, FURNITURE AND FITTINGS, Other Assets, 1800*900mm partner desk</v>
          </cell>
          <cell r="K100" t="str">
            <v>1800*900mm partner desk</v>
          </cell>
          <cell r="N100">
            <v>1</v>
          </cell>
          <cell r="O100" t="str">
            <v>Main offices</v>
          </cell>
          <cell r="P100" t="str">
            <v>Open Plan HR</v>
          </cell>
        </row>
        <row r="101">
          <cell r="I101" t="str">
            <v>NHC131</v>
          </cell>
          <cell r="J101" t="str">
            <v>Property, plant &amp; equipment, Movable assets, FURNITURE AND FITTINGS, Other Assets, Tradition Cane Chair</v>
          </cell>
          <cell r="K101" t="str">
            <v>Tradition Cane Chair</v>
          </cell>
          <cell r="N101">
            <v>1</v>
          </cell>
          <cell r="O101" t="str">
            <v>Main offices</v>
          </cell>
          <cell r="P101" t="str">
            <v>Open plan finance</v>
          </cell>
        </row>
        <row r="102">
          <cell r="I102" t="str">
            <v>NHC179</v>
          </cell>
          <cell r="J102" t="str">
            <v>Property, plant &amp; equipment, Movable assets, FURNITURE AND FITTINGS, Other Assets, Traditional cane chair-Range 2 fabric</v>
          </cell>
          <cell r="K102" t="str">
            <v>Traditional cane chair-Range 2 fabric</v>
          </cell>
          <cell r="N102">
            <v>1</v>
          </cell>
          <cell r="O102" t="str">
            <v>Main offices</v>
          </cell>
          <cell r="P102" t="str">
            <v xml:space="preserve">Open Plan Finance </v>
          </cell>
        </row>
        <row r="103">
          <cell r="I103" t="str">
            <v>NHC000353</v>
          </cell>
          <cell r="J103" t="str">
            <v>Property, plant &amp; equipment, Movable assets, FURNITURE AND FITTINGS, Other Assets, NHC Pot with Reeds</v>
          </cell>
          <cell r="K103" t="str">
            <v>NHC Pot with Reeds</v>
          </cell>
          <cell r="N103">
            <v>1</v>
          </cell>
          <cell r="O103" t="str">
            <v>Main offices</v>
          </cell>
          <cell r="P103" t="str">
            <v xml:space="preserve">Basement storage </v>
          </cell>
        </row>
        <row r="104">
          <cell r="I104">
            <v>1225</v>
          </cell>
          <cell r="J104" t="str">
            <v>Property, plant &amp; equipment, Movable assets, FURNITURE AND FITTINGS, Other Assets, Mobile Pedestal</v>
          </cell>
          <cell r="K104" t="str">
            <v>Mobile Pedestal</v>
          </cell>
          <cell r="N104">
            <v>1</v>
          </cell>
          <cell r="O104" t="str">
            <v>Main offices</v>
          </cell>
          <cell r="P104" t="str">
            <v xml:space="preserve">Basement storage </v>
          </cell>
        </row>
        <row r="105">
          <cell r="I105">
            <v>1235</v>
          </cell>
          <cell r="J105" t="str">
            <v>Property, plant &amp; equipment, Movable assets, FURNITURE AND FITTINGS, Other Assets, Mobile Pedestal</v>
          </cell>
          <cell r="K105" t="str">
            <v>Mobile Pedestal</v>
          </cell>
          <cell r="N105">
            <v>1</v>
          </cell>
          <cell r="O105" t="str">
            <v>Main offices</v>
          </cell>
          <cell r="P105" t="str">
            <v>Open plan Communication</v>
          </cell>
        </row>
        <row r="106">
          <cell r="I106">
            <v>1213</v>
          </cell>
          <cell r="J106" t="str">
            <v>Property, plant &amp; equipment, Movable assets, FURNITURE AND FITTINGS, Other Assets, Chair/ Light Green</v>
          </cell>
          <cell r="K106" t="str">
            <v>Chair/ Light Green</v>
          </cell>
          <cell r="N106">
            <v>1</v>
          </cell>
          <cell r="O106" t="str">
            <v>Main offices</v>
          </cell>
          <cell r="P106" t="str">
            <v xml:space="preserve">Open plan finance </v>
          </cell>
        </row>
        <row r="107">
          <cell r="I107" t="str">
            <v>NHC-001288</v>
          </cell>
          <cell r="J107" t="str">
            <v>Property, plant &amp; equipment, Movable assets, COMPUTER EQUIPMENT, Other Assets, PoE Switch - HPE1920S 24G 2SFP, 370W</v>
          </cell>
          <cell r="K107" t="str">
            <v>PoE Switch - HPE1920S 24G 2SFP, 370W</v>
          </cell>
          <cell r="N107">
            <v>1</v>
          </cell>
          <cell r="O107" t="str">
            <v>Main offices</v>
          </cell>
          <cell r="P107" t="str">
            <v>R17 server room</v>
          </cell>
        </row>
        <row r="108">
          <cell r="I108">
            <v>1068</v>
          </cell>
          <cell r="J108" t="str">
            <v>Property, plant &amp; equipment, Movable assets, OFFICE EQUIPMENT AND TOOLS, Other Assets, Dstv Decoder (Reception)</v>
          </cell>
          <cell r="K108" t="str">
            <v>Dstv Decoder (Reception)</v>
          </cell>
          <cell r="N108">
            <v>1</v>
          </cell>
          <cell r="O108" t="str">
            <v>R17</v>
          </cell>
          <cell r="P108" t="str">
            <v xml:space="preserve">Basement parking </v>
          </cell>
        </row>
        <row r="109">
          <cell r="I109" t="str">
            <v>NHC000992</v>
          </cell>
          <cell r="J109" t="str">
            <v>Property, plant &amp; equipment, Movable assets, COMPUTER EQUIPMENT, Other Assets, Netgear Prosafe Switch</v>
          </cell>
          <cell r="K109" t="str">
            <v>Netgear Prosafe Switch</v>
          </cell>
          <cell r="L109" t="str">
            <v>01724442</v>
          </cell>
          <cell r="N109">
            <v>1</v>
          </cell>
          <cell r="O109" t="str">
            <v>Main offices</v>
          </cell>
          <cell r="P109" t="str">
            <v>R17</v>
          </cell>
        </row>
        <row r="110">
          <cell r="I110" t="str">
            <v>NHC000999</v>
          </cell>
          <cell r="J110" t="str">
            <v>Property, plant &amp; equipment, Movable assets, COMPUTER EQUIPMENT, Other Assets, Poweregde T320 Server (Tower) CPU/Monitor</v>
          </cell>
          <cell r="K110" t="str">
            <v>Poweregde T320 Server (Tower) CPU/Monitor</v>
          </cell>
          <cell r="N110">
            <v>1</v>
          </cell>
          <cell r="O110" t="str">
            <v>Main offices</v>
          </cell>
          <cell r="P110" t="str">
            <v xml:space="preserve">Basement parking </v>
          </cell>
        </row>
        <row r="111">
          <cell r="I111">
            <v>1033</v>
          </cell>
          <cell r="J111" t="str">
            <v>Property, plant &amp; equipment, Movable assets, COMPUTER EQUIPMENT, Other Assets, UNI-FI WI-FI ROUTER</v>
          </cell>
          <cell r="K111" t="str">
            <v>UNI-FI WI-FI ROUTER</v>
          </cell>
          <cell r="N111">
            <v>1</v>
          </cell>
          <cell r="O111" t="str">
            <v>Main offices</v>
          </cell>
          <cell r="P111" t="str">
            <v xml:space="preserve">Basement parking </v>
          </cell>
        </row>
        <row r="112">
          <cell r="I112">
            <v>1034</v>
          </cell>
          <cell r="J112" t="str">
            <v>Property, plant &amp; equipment, Movable assets, COMPUTER EQUIPMENT, Other Assets, UNI-FI WI-FI ROUTER</v>
          </cell>
          <cell r="K112" t="str">
            <v>UNI-FI WI-FI ROUTER</v>
          </cell>
          <cell r="N112">
            <v>1</v>
          </cell>
          <cell r="O112" t="str">
            <v>Main offices</v>
          </cell>
          <cell r="P112" t="str">
            <v>R17</v>
          </cell>
        </row>
        <row r="113">
          <cell r="I113">
            <v>1037</v>
          </cell>
          <cell r="J113" t="str">
            <v>Property, plant &amp; equipment, Movable assets, COMPUTER EQUIPMENT, Other Assets, UNI-FI WI-FI ROUTER</v>
          </cell>
          <cell r="K113" t="str">
            <v>UNI-FI WI-FI ROUTER</v>
          </cell>
          <cell r="N113">
            <v>1</v>
          </cell>
          <cell r="O113" t="str">
            <v>Main offices</v>
          </cell>
          <cell r="P113" t="str">
            <v xml:space="preserve">Basement parking </v>
          </cell>
        </row>
        <row r="114">
          <cell r="I114">
            <v>1032</v>
          </cell>
          <cell r="J114" t="str">
            <v>Property, plant &amp; equipment, Movable assets, COMPUTER EQUIPMENT, Other Assets, UNI-FI WI-FI ROUTER</v>
          </cell>
          <cell r="K114" t="str">
            <v>UNI-FI WI-FI ROUTER</v>
          </cell>
          <cell r="N114">
            <v>1</v>
          </cell>
          <cell r="O114" t="str">
            <v>Main offices</v>
          </cell>
          <cell r="P114" t="str">
            <v>R17</v>
          </cell>
        </row>
        <row r="115">
          <cell r="I115">
            <v>1036</v>
          </cell>
          <cell r="J115" t="str">
            <v>Property, plant &amp; equipment, Movable assets, COMPUTER EQUIPMENT, Other Assets, UNI-FI WI-FI ROUTER</v>
          </cell>
          <cell r="K115" t="str">
            <v>UNI-FI WI-FI ROUTER</v>
          </cell>
          <cell r="N115">
            <v>1</v>
          </cell>
          <cell r="O115" t="str">
            <v>Main offices</v>
          </cell>
          <cell r="P115" t="str">
            <v>R17</v>
          </cell>
        </row>
        <row r="116">
          <cell r="I116">
            <v>1024</v>
          </cell>
          <cell r="J116" t="str">
            <v>Property, plant &amp; equipment, Movable assets, FURNITURE AND FITTINGS, Other Assets, High Back Chair*****</v>
          </cell>
          <cell r="K116" t="str">
            <v>High Back Chair*****</v>
          </cell>
          <cell r="N116">
            <v>1</v>
          </cell>
          <cell r="O116" t="str">
            <v>Main offices</v>
          </cell>
          <cell r="P116" t="str">
            <v>R28</v>
          </cell>
        </row>
        <row r="117">
          <cell r="I117" t="str">
            <v>NHC000523</v>
          </cell>
          <cell r="J117" t="str">
            <v>Property, plant &amp; equipment, Movable assets, FURNITURE AND FITTINGS, Other Assets, L Shape Combination Desk</v>
          </cell>
          <cell r="K117" t="str">
            <v>L Shape Combination Desk</v>
          </cell>
          <cell r="N117">
            <v>1</v>
          </cell>
          <cell r="O117" t="str">
            <v>Main offices</v>
          </cell>
          <cell r="P117" t="str">
            <v xml:space="preserve">R28 </v>
          </cell>
        </row>
        <row r="118">
          <cell r="I118" t="str">
            <v>NHC000846</v>
          </cell>
          <cell r="J118" t="str">
            <v>Property, plant &amp; equipment, Movable assets, FURNITURE AND FITTINGS, Other Assets, High Back Chair</v>
          </cell>
          <cell r="K118" t="str">
            <v>High Back Chair</v>
          </cell>
          <cell r="N118">
            <v>1</v>
          </cell>
          <cell r="O118" t="str">
            <v>Main offices</v>
          </cell>
          <cell r="P118" t="str">
            <v>Open plan finance</v>
          </cell>
        </row>
        <row r="119">
          <cell r="I119" t="str">
            <v>NHC162</v>
          </cell>
          <cell r="J119" t="str">
            <v>Property, plant &amp; equipment, Movable assets, FURNITURE AND FITTINGS, Other Assets, 1800*600mm L Extension</v>
          </cell>
          <cell r="K119" t="str">
            <v>1800*600mm L Extension</v>
          </cell>
          <cell r="N119">
            <v>1</v>
          </cell>
          <cell r="O119" t="str">
            <v>Main offices</v>
          </cell>
          <cell r="P119" t="str">
            <v>Open plan finance</v>
          </cell>
        </row>
        <row r="120">
          <cell r="I120" t="str">
            <v>NHC001014</v>
          </cell>
          <cell r="J120" t="str">
            <v>Property, plant &amp; equipment, Movable assets, OFFICE EQUIPMENT AND TOOLS, Other Assets, Weighing Scale</v>
          </cell>
          <cell r="K120" t="str">
            <v>Weighing Scale</v>
          </cell>
          <cell r="N120">
            <v>1</v>
          </cell>
          <cell r="O120" t="str">
            <v>Main offices</v>
          </cell>
          <cell r="P120" t="str">
            <v xml:space="preserve">Basement parking </v>
          </cell>
        </row>
        <row r="121">
          <cell r="I121" t="str">
            <v>HK 93 WX GP</v>
          </cell>
          <cell r="J121" t="str">
            <v>Property, plant &amp; equipment, Movable assets, MOTOR VEHICLES, Other Assets, Toyota Corolla Light Blue</v>
          </cell>
          <cell r="K121" t="str">
            <v>Toyota Corolla Light Blue</v>
          </cell>
          <cell r="L121" t="str">
            <v>ahtbf3je300012164</v>
          </cell>
          <cell r="N121">
            <v>1</v>
          </cell>
          <cell r="O121" t="str">
            <v>Main offices</v>
          </cell>
          <cell r="P121" t="str">
            <v>Basement parking 2</v>
          </cell>
        </row>
        <row r="122">
          <cell r="I122" t="str">
            <v>NHC000619</v>
          </cell>
          <cell r="J122" t="str">
            <v>Property, plant &amp; equipment, Movable assets, COMPUTER EQUIPMENT, Other Assets, 21.5Samsung LED LCD</v>
          </cell>
          <cell r="K122" t="str">
            <v>21.5Samsung LED LCD</v>
          </cell>
          <cell r="N122">
            <v>1</v>
          </cell>
          <cell r="O122" t="str">
            <v>Main offices</v>
          </cell>
          <cell r="P122" t="str">
            <v xml:space="preserve">Basement storage </v>
          </cell>
        </row>
        <row r="123">
          <cell r="I123">
            <v>1114</v>
          </cell>
          <cell r="J123" t="str">
            <v>Property, plant &amp; equipment, Movable assets, FURNITURE AND FITTINGS, Other Assets, Bus Class Visitors Chair</v>
          </cell>
          <cell r="K123" t="str">
            <v>Bus Class Visitors Chair</v>
          </cell>
          <cell r="N123">
            <v>1</v>
          </cell>
          <cell r="O123" t="str">
            <v>Main offices</v>
          </cell>
          <cell r="P123" t="str">
            <v xml:space="preserve">R3 Open plan finance </v>
          </cell>
        </row>
        <row r="124">
          <cell r="I124" t="str">
            <v>NHC000386</v>
          </cell>
          <cell r="J124" t="str">
            <v>Property, plant &amp; equipment, Movable assets, FURNITURE AND FITTINGS, Other Assets, Chair</v>
          </cell>
          <cell r="K124" t="str">
            <v>Chair</v>
          </cell>
          <cell r="N124">
            <v>1</v>
          </cell>
          <cell r="O124" t="str">
            <v>Main offices</v>
          </cell>
          <cell r="P124" t="str">
            <v xml:space="preserve">R1 Open plan finance </v>
          </cell>
        </row>
        <row r="125">
          <cell r="I125" t="str">
            <v>NHC001589</v>
          </cell>
          <cell r="J125" t="str">
            <v>Property, plant &amp; equipment, Movable assets, COMPUTER EQUIPMENT, Other Assets, Laptop Dell Mobile Precision Workstation 3561 CTO</v>
          </cell>
          <cell r="K125" t="str">
            <v>Laptop Dell Mobile Precision Workstation 3561 CTO</v>
          </cell>
          <cell r="L125" t="str">
            <v>cqv5tl3</v>
          </cell>
          <cell r="N125">
            <v>1</v>
          </cell>
          <cell r="O125" t="str">
            <v>Main offices</v>
          </cell>
          <cell r="P125" t="str">
            <v xml:space="preserve">R1 Open plan finance </v>
          </cell>
        </row>
        <row r="126">
          <cell r="I126">
            <v>1952</v>
          </cell>
          <cell r="J126" t="str">
            <v>Property, plant &amp; equipment, Movable assets, COMPUTER EQUIPMENT, Other Assets, Lenovo Laptop - Bongeka Buthelezi</v>
          </cell>
          <cell r="K126" t="str">
            <v>Lenovo Laptop - Bongeka Buthelezi</v>
          </cell>
          <cell r="L126" t="str">
            <v>pW08SYQYPWN0B3B24001</v>
          </cell>
          <cell r="N126">
            <v>1</v>
          </cell>
          <cell r="O126" t="str">
            <v>Main offices</v>
          </cell>
          <cell r="P126" t="str">
            <v xml:space="preserve">Open Plan finance </v>
          </cell>
        </row>
        <row r="127">
          <cell r="I127">
            <v>1536</v>
          </cell>
          <cell r="J127" t="str">
            <v>Property, plant &amp; equipment, Movable assets, COMPUTER EQUIPMENT, Other Assets, LENOVO LAPTOP/Nangamso</v>
          </cell>
          <cell r="K127" t="str">
            <v>LENOVO LAPTOP/Nangamso</v>
          </cell>
          <cell r="N127">
            <v>1</v>
          </cell>
          <cell r="O127" t="str">
            <v>Main offices</v>
          </cell>
          <cell r="P127" t="str">
            <v xml:space="preserve">Open plan co-business </v>
          </cell>
        </row>
        <row r="128">
          <cell r="I128">
            <v>1896</v>
          </cell>
          <cell r="J128" t="str">
            <v>Property, plant &amp; equipment, Movable assets, FURNITURE AND FITTINGS, Other Assets, Chair</v>
          </cell>
          <cell r="K128" t="str">
            <v>single leather couch</v>
          </cell>
          <cell r="N128">
            <v>1</v>
          </cell>
          <cell r="O128" t="str">
            <v>Main offices</v>
          </cell>
          <cell r="P128" t="str">
            <v>R29</v>
          </cell>
        </row>
        <row r="129">
          <cell r="I129">
            <v>1898</v>
          </cell>
          <cell r="J129" t="str">
            <v>Property, plant &amp; equipment, Movable assets, FURNITURE AND FITTINGS, Other Assets, Chair</v>
          </cell>
          <cell r="K129" t="str">
            <v>single leather couch</v>
          </cell>
          <cell r="N129">
            <v>1</v>
          </cell>
          <cell r="O129" t="str">
            <v>Main offices</v>
          </cell>
          <cell r="P129" t="str">
            <v>R29</v>
          </cell>
        </row>
        <row r="130">
          <cell r="I130" t="str">
            <v>NHC127</v>
          </cell>
          <cell r="J130" t="str">
            <v>Property, plant &amp; equipment, Movable assets, FURNITURE AND FITTINGS, Other Assets, 950*950mm Coffee Table</v>
          </cell>
          <cell r="K130" t="str">
            <v>950*950mm Coffee Table</v>
          </cell>
          <cell r="N130">
            <v>1</v>
          </cell>
          <cell r="O130" t="str">
            <v>Main offices</v>
          </cell>
          <cell r="P130" t="str">
            <v xml:space="preserve">Basement storage </v>
          </cell>
        </row>
        <row r="131">
          <cell r="I131" t="str">
            <v>NHC172</v>
          </cell>
          <cell r="J131" t="str">
            <v>Property, plant &amp; equipment, Movable assets, FURNITURE AND FITTINGS, Other Assets, 1000X600mm Coffee Table</v>
          </cell>
          <cell r="K131" t="str">
            <v>1000X600mm Coffee Table</v>
          </cell>
          <cell r="N131">
            <v>1</v>
          </cell>
          <cell r="O131" t="str">
            <v>Main offices</v>
          </cell>
          <cell r="P131" t="str">
            <v xml:space="preserve">Basement </v>
          </cell>
        </row>
        <row r="132">
          <cell r="I132">
            <v>1523</v>
          </cell>
          <cell r="J132" t="str">
            <v>Property, plant &amp; equipment, Movable assets, COMPUTER EQUIPMENT, Other Assets, LENOVO LAPTOP/Eudie - Corne</v>
          </cell>
          <cell r="K132" t="str">
            <v>LENOVO LAPTOP/Eudie - Corne</v>
          </cell>
          <cell r="N132">
            <v>1</v>
          </cell>
          <cell r="O132" t="str">
            <v>Main offices</v>
          </cell>
          <cell r="P132" t="str">
            <v>R15 Executive office</v>
          </cell>
        </row>
        <row r="133">
          <cell r="I133" t="str">
            <v>NHC001576</v>
          </cell>
          <cell r="J133" t="str">
            <v>Property, plant &amp; equipment, Movable assets, COMPUTER EQUIPMENT, Other Assets, Laptop Dell Mobile Precision Workstation 3561 CTO</v>
          </cell>
          <cell r="K133" t="str">
            <v>Laptop Dell Mobile Precision Workstation 3561 CTO</v>
          </cell>
          <cell r="N133">
            <v>1</v>
          </cell>
          <cell r="O133" t="str">
            <v>Main offices</v>
          </cell>
          <cell r="P133" t="str">
            <v>Open plan co-business</v>
          </cell>
        </row>
        <row r="134">
          <cell r="I134" t="str">
            <v>000160</v>
          </cell>
          <cell r="J134" t="str">
            <v>Property, plant &amp; equipment, Movable assets, FURNITURE AND FITTINGS, Other Assets, 3 Drawer Pedestal</v>
          </cell>
          <cell r="K134" t="str">
            <v>3 Drawer Pedestal</v>
          </cell>
          <cell r="N134">
            <v>1</v>
          </cell>
          <cell r="O134" t="str">
            <v>Main offices</v>
          </cell>
          <cell r="P134" t="str">
            <v xml:space="preserve">Basement storage </v>
          </cell>
        </row>
        <row r="135">
          <cell r="I135" t="str">
            <v>NHC000616</v>
          </cell>
          <cell r="J135" t="str">
            <v>Property, plant &amp; equipment, Movable assets, COMPUTER EQUIPMENT, Other Assets, 21.5 Samsung LED LCD</v>
          </cell>
          <cell r="K135" t="str">
            <v>21.5 Samsung LED LCD</v>
          </cell>
          <cell r="N135">
            <v>1</v>
          </cell>
          <cell r="O135" t="str">
            <v>Main offices</v>
          </cell>
          <cell r="P135" t="str">
            <v xml:space="preserve">Basement storage </v>
          </cell>
        </row>
        <row r="136">
          <cell r="I136">
            <v>1436</v>
          </cell>
          <cell r="J136" t="str">
            <v>Property, plant &amp; equipment, Movable assets, OFFICE EQUIPMENT AND TOOLS, Other Assets, Foot Pedal Sanitiser Dispenser</v>
          </cell>
          <cell r="K136" t="str">
            <v>Foot Pedal Sanitiser Dispenser</v>
          </cell>
          <cell r="N136">
            <v>1</v>
          </cell>
          <cell r="O136" t="str">
            <v>Main offices</v>
          </cell>
          <cell r="P136" t="str">
            <v xml:space="preserve">Basement storage </v>
          </cell>
        </row>
        <row r="137">
          <cell r="I137">
            <v>1434</v>
          </cell>
          <cell r="J137" t="str">
            <v>Property, plant &amp; equipment, Movable assets, OFFICE EQUIPMENT AND TOOLS, Other Assets, Foot Pedal Sanitiser Dispenser</v>
          </cell>
          <cell r="K137" t="str">
            <v>Foot Pedal Sanitiser Dispenser</v>
          </cell>
          <cell r="N137">
            <v>1</v>
          </cell>
          <cell r="O137" t="str">
            <v>Main offices</v>
          </cell>
          <cell r="P137" t="str">
            <v xml:space="preserve">Basement storage </v>
          </cell>
        </row>
        <row r="138">
          <cell r="I138">
            <v>1433</v>
          </cell>
          <cell r="J138" t="str">
            <v>Property, plant &amp; equipment, Movable assets, OFFICE EQUIPMENT AND TOOLS, Other Assets, Foot Pedal Sanitiser Dispenser</v>
          </cell>
          <cell r="K138" t="str">
            <v>Foot Pedal Sanitiser Dispenser</v>
          </cell>
          <cell r="N138">
            <v>1</v>
          </cell>
          <cell r="O138" t="str">
            <v>Main offices</v>
          </cell>
          <cell r="P138" t="str">
            <v xml:space="preserve">Basement storage </v>
          </cell>
        </row>
        <row r="139">
          <cell r="I139">
            <v>1431</v>
          </cell>
          <cell r="J139" t="str">
            <v>Property, plant &amp; equipment, Movable assets, OFFICE EQUIPMENT AND TOOLS, Other Assets, Foot Pedal Sanitiser Dispenser</v>
          </cell>
          <cell r="K139" t="str">
            <v>Foot Pedal Sanitiser Dispenser</v>
          </cell>
          <cell r="N139">
            <v>1</v>
          </cell>
          <cell r="O139" t="str">
            <v>Main offices</v>
          </cell>
          <cell r="P139" t="str">
            <v xml:space="preserve">Basement storage </v>
          </cell>
        </row>
        <row r="140">
          <cell r="I140">
            <v>1430</v>
          </cell>
          <cell r="J140" t="str">
            <v>Property, plant &amp; equipment, Movable assets, OFFICE EQUIPMENT AND TOOLS, Other Assets, Foot Pedal Sanitiser Dispenser</v>
          </cell>
          <cell r="K140" t="str">
            <v>Foot Pedal Sanitiser Dispenser</v>
          </cell>
          <cell r="N140">
            <v>1</v>
          </cell>
          <cell r="O140" t="str">
            <v>Main offices</v>
          </cell>
          <cell r="P140" t="str">
            <v xml:space="preserve">Basement storage </v>
          </cell>
        </row>
        <row r="141">
          <cell r="I141">
            <v>1425</v>
          </cell>
          <cell r="J141" t="str">
            <v>Property, plant &amp; equipment, Movable assets, OFFICE EQUIPMENT AND TOOLS, Other Assets, Foot Pedal Sanitiser Dispenser</v>
          </cell>
          <cell r="K141" t="str">
            <v>Foot Pedal Sanitiser Dispenser</v>
          </cell>
          <cell r="N141">
            <v>1</v>
          </cell>
          <cell r="O141" t="str">
            <v>Main offices</v>
          </cell>
          <cell r="P141" t="str">
            <v xml:space="preserve">Basement storage </v>
          </cell>
        </row>
        <row r="142">
          <cell r="I142">
            <v>1424</v>
          </cell>
          <cell r="J142" t="str">
            <v>Property, plant &amp; equipment, Movable assets, OFFICE EQUIPMENT AND TOOLS, Other Assets, Foot Pedal Sanitiser Dispenser</v>
          </cell>
          <cell r="K142" t="str">
            <v>Foot Pedal Sanitiser Dispenser</v>
          </cell>
          <cell r="N142">
            <v>1</v>
          </cell>
          <cell r="O142" t="str">
            <v>Main offices</v>
          </cell>
          <cell r="P142" t="str">
            <v xml:space="preserve">Basement storage </v>
          </cell>
        </row>
        <row r="143">
          <cell r="I143">
            <v>1422</v>
          </cell>
          <cell r="J143" t="str">
            <v>Property, plant &amp; equipment, Movable assets, OFFICE EQUIPMENT AND TOOLS, Other Assets, Foot Pedal Sanitiser Dispenser</v>
          </cell>
          <cell r="K143" t="str">
            <v>Foot Pedal Sanitiser Dispenser</v>
          </cell>
          <cell r="N143">
            <v>1</v>
          </cell>
          <cell r="O143" t="str">
            <v>Main offices</v>
          </cell>
          <cell r="P143" t="str">
            <v xml:space="preserve">Basement storage </v>
          </cell>
        </row>
        <row r="144">
          <cell r="I144" t="str">
            <v>NHC0043</v>
          </cell>
          <cell r="J144" t="str">
            <v>Property, plant &amp; equipment, Movable assets, OFFICE EQUIPMENT AND TOOLS, Other Assets, Tedelex 74 cm TV set</v>
          </cell>
          <cell r="K144" t="str">
            <v>Tedelex 74 cm TV set</v>
          </cell>
          <cell r="N144">
            <v>1</v>
          </cell>
          <cell r="O144" t="str">
            <v>Main offices</v>
          </cell>
          <cell r="P144" t="str">
            <v xml:space="preserve">Basement storage </v>
          </cell>
        </row>
        <row r="145">
          <cell r="I145">
            <v>1220</v>
          </cell>
          <cell r="J145" t="str">
            <v>Property, plant &amp; equipment, Movable assets, FURNITURE AND FITTINGS, Other Assets, Mobile Pedestal</v>
          </cell>
          <cell r="K145" t="str">
            <v>Mobile Pedestal</v>
          </cell>
          <cell r="N145">
            <v>1</v>
          </cell>
          <cell r="O145" t="str">
            <v>Main offices</v>
          </cell>
          <cell r="P145" t="str">
            <v xml:space="preserve">Basement storage </v>
          </cell>
        </row>
        <row r="146">
          <cell r="I146" t="str">
            <v>NHC0077</v>
          </cell>
          <cell r="J146" t="str">
            <v>Property, plant &amp; equipment, Movable assets, FURNITURE AND FITTINGS, Other Assets, 3drawer Pedestal</v>
          </cell>
          <cell r="K146" t="str">
            <v>3drawer Pedestal</v>
          </cell>
          <cell r="N146">
            <v>1</v>
          </cell>
          <cell r="O146" t="str">
            <v>Main offices</v>
          </cell>
          <cell r="P146" t="str">
            <v xml:space="preserve">Basement storage </v>
          </cell>
        </row>
        <row r="147">
          <cell r="I147" t="str">
            <v>NHC00944</v>
          </cell>
          <cell r="J147" t="str">
            <v>Property, plant &amp; equipment, Movable assets, FURNITURE AND FITTINGS, Other Assets, Visitors Chair</v>
          </cell>
          <cell r="K147" t="str">
            <v>Visitors Chair</v>
          </cell>
          <cell r="N147">
            <v>1</v>
          </cell>
          <cell r="O147" t="str">
            <v>Main offices</v>
          </cell>
          <cell r="P147" t="str">
            <v xml:space="preserve">Basement storage </v>
          </cell>
        </row>
        <row r="148">
          <cell r="I148" t="str">
            <v>NHC000887</v>
          </cell>
          <cell r="J148" t="str">
            <v>Property, plant &amp; equipment, Movable assets, FURNITURE AND FITTINGS, Other Assets, Steel Cabinet</v>
          </cell>
          <cell r="K148" t="str">
            <v>Steel Cabinet</v>
          </cell>
          <cell r="N148">
            <v>1</v>
          </cell>
          <cell r="O148" t="str">
            <v>Main offices</v>
          </cell>
          <cell r="P148" t="str">
            <v xml:space="preserve">Basement storage </v>
          </cell>
        </row>
        <row r="149">
          <cell r="I149" t="str">
            <v>NHC 000434</v>
          </cell>
          <cell r="J149" t="str">
            <v>Property, plant &amp; equipment, Movable assets, FURNITURE AND FITTINGS, Other Assets, Desk</v>
          </cell>
          <cell r="K149" t="str">
            <v>Desk</v>
          </cell>
          <cell r="N149">
            <v>1</v>
          </cell>
          <cell r="O149" t="str">
            <v>Main offices</v>
          </cell>
          <cell r="P149" t="str">
            <v xml:space="preserve">Basement storage </v>
          </cell>
        </row>
        <row r="150">
          <cell r="I150" t="str">
            <v>NHC 000442</v>
          </cell>
          <cell r="J150" t="str">
            <v>Property, plant &amp; equipment, Movable assets, FURNITURE AND FITTINGS, Other Assets, Pedestal</v>
          </cell>
          <cell r="K150" t="str">
            <v>Pedestal</v>
          </cell>
          <cell r="N150">
            <v>1</v>
          </cell>
          <cell r="O150" t="str">
            <v>Main offices</v>
          </cell>
          <cell r="P150" t="str">
            <v xml:space="preserve">Basement storage </v>
          </cell>
        </row>
        <row r="151">
          <cell r="I151" t="str">
            <v>NHC 00337</v>
          </cell>
          <cell r="J151" t="str">
            <v>Property, plant &amp; equipment, Movable assets, FURNITURE AND FITTINGS, Other Assets, Drum of Africa with glass top</v>
          </cell>
          <cell r="K151" t="str">
            <v>Drum of Africa with glass top</v>
          </cell>
          <cell r="N151">
            <v>1</v>
          </cell>
          <cell r="O151" t="str">
            <v>Main offices</v>
          </cell>
          <cell r="P151" t="str">
            <v xml:space="preserve">Basement storage </v>
          </cell>
        </row>
        <row r="152">
          <cell r="I152" t="str">
            <v>NHC0059</v>
          </cell>
          <cell r="J152" t="str">
            <v>Property, plant &amp; equipment, Movable assets, FURNITURE AND FITTINGS, Other Assets, Zeus dark wood desk 1600mmx800</v>
          </cell>
          <cell r="K152" t="str">
            <v>Zeus dark wood desk 1600mmx800</v>
          </cell>
          <cell r="N152">
            <v>1</v>
          </cell>
          <cell r="O152" t="str">
            <v>Main offices</v>
          </cell>
          <cell r="P152" t="str">
            <v xml:space="preserve">Basement storage </v>
          </cell>
        </row>
        <row r="153">
          <cell r="I153" t="str">
            <v>NHC000708</v>
          </cell>
          <cell r="J153" t="str">
            <v>Property, plant &amp; equipment, Movable assets, COMPUTER EQUIPMENT, Other Assets, UPS Power and ethernet cables</v>
          </cell>
          <cell r="K153" t="str">
            <v>UPS Power and ethernet cables</v>
          </cell>
          <cell r="N153">
            <v>1</v>
          </cell>
          <cell r="O153" t="str">
            <v>Main offices</v>
          </cell>
          <cell r="P153" t="str">
            <v xml:space="preserve">Basement storage </v>
          </cell>
        </row>
        <row r="154">
          <cell r="I154">
            <v>1435</v>
          </cell>
          <cell r="J154" t="str">
            <v>Property, plant &amp; equipment, Movable assets, OFFICE EQUIPMENT AND TOOLS, Other Assets, Foot Pedal Sanitiser Dispenser</v>
          </cell>
          <cell r="K154" t="str">
            <v>Foot Pedal Sanitiser Dispenser</v>
          </cell>
          <cell r="N154">
            <v>1</v>
          </cell>
          <cell r="O154" t="str">
            <v>Main offices</v>
          </cell>
          <cell r="P154" t="str">
            <v xml:space="preserve">Basement storage </v>
          </cell>
        </row>
        <row r="155">
          <cell r="I155">
            <v>1432</v>
          </cell>
          <cell r="J155" t="str">
            <v>Property, plant &amp; equipment, Movable assets, OFFICE EQUIPMENT AND TOOLS, Other Assets, Foot Pedal Sanitiser Dispenser</v>
          </cell>
          <cell r="K155" t="str">
            <v>Foot Pedal Sanitiser Dispenser</v>
          </cell>
          <cell r="N155">
            <v>1</v>
          </cell>
          <cell r="O155" t="str">
            <v>Main offices</v>
          </cell>
          <cell r="P155" t="str">
            <v xml:space="preserve">Basement storage </v>
          </cell>
        </row>
        <row r="156">
          <cell r="I156">
            <v>1429</v>
          </cell>
          <cell r="J156" t="str">
            <v>Property, plant &amp; equipment, Movable assets, OFFICE EQUIPMENT AND TOOLS, Other Assets, Foot Pedal Sanitiser Dispenser</v>
          </cell>
          <cell r="K156" t="str">
            <v>Foot Pedal Sanitiser Dispenser</v>
          </cell>
          <cell r="N156">
            <v>1</v>
          </cell>
          <cell r="O156" t="str">
            <v>Main offices</v>
          </cell>
          <cell r="P156" t="str">
            <v xml:space="preserve">Basement storage </v>
          </cell>
        </row>
        <row r="157">
          <cell r="I157">
            <v>1428</v>
          </cell>
          <cell r="J157" t="str">
            <v>Property, plant &amp; equipment, Movable assets, OFFICE EQUIPMENT AND TOOLS, Other Assets, Foot Pedal Sanitiser Dispenser</v>
          </cell>
          <cell r="K157" t="str">
            <v>Foot Pedal Sanitiser Dispenser</v>
          </cell>
          <cell r="N157">
            <v>1</v>
          </cell>
          <cell r="O157" t="str">
            <v>Main offices</v>
          </cell>
          <cell r="P157" t="str">
            <v xml:space="preserve">Basement storage </v>
          </cell>
        </row>
        <row r="158">
          <cell r="I158">
            <v>1427</v>
          </cell>
          <cell r="J158" t="str">
            <v>Property, plant &amp; equipment, Movable assets, OFFICE EQUIPMENT AND TOOLS, Other Assets, Foot Pedal Sanitiser Dispenser</v>
          </cell>
          <cell r="K158" t="str">
            <v>Foot Pedal Sanitiser Dispenser</v>
          </cell>
          <cell r="N158">
            <v>1</v>
          </cell>
          <cell r="O158" t="str">
            <v>Main offices</v>
          </cell>
          <cell r="P158" t="str">
            <v xml:space="preserve">Basement storage </v>
          </cell>
        </row>
        <row r="159">
          <cell r="I159" t="str">
            <v>NHC001019</v>
          </cell>
          <cell r="J159" t="str">
            <v>Property, plant &amp; equipment, Movable assets, OFFICE EQUIPMENT AND TOOLS, Other Assets, Drip Stand</v>
          </cell>
          <cell r="K159" t="str">
            <v>Drip Stand</v>
          </cell>
          <cell r="N159">
            <v>1</v>
          </cell>
          <cell r="O159" t="str">
            <v>Main offices</v>
          </cell>
          <cell r="P159" t="str">
            <v xml:space="preserve">Basement storage </v>
          </cell>
        </row>
        <row r="160">
          <cell r="I160" t="str">
            <v>nhc000653-2</v>
          </cell>
          <cell r="J160" t="str">
            <v>Property, plant &amp; equipment, Movable assets, OFFICE EQUIPMENT AND TOOLS, Other Assets, shredder rexel</v>
          </cell>
          <cell r="K160" t="str">
            <v>shredder rexel</v>
          </cell>
          <cell r="N160">
            <v>1</v>
          </cell>
          <cell r="O160" t="str">
            <v>Main offices</v>
          </cell>
          <cell r="P160" t="str">
            <v xml:space="preserve">Basement storage </v>
          </cell>
        </row>
        <row r="161">
          <cell r="I161" t="str">
            <v>NHC000663</v>
          </cell>
          <cell r="J161" t="str">
            <v>Property, plant &amp; equipment, Movable assets, FURNITURE AND FITTINGS, Other Assets, CHAIR VISITOR</v>
          </cell>
          <cell r="K161" t="str">
            <v>CHAIR VISITOR</v>
          </cell>
          <cell r="N161">
            <v>1</v>
          </cell>
          <cell r="O161" t="str">
            <v>Main offices</v>
          </cell>
          <cell r="P161" t="str">
            <v xml:space="preserve">Basement storage </v>
          </cell>
        </row>
        <row r="162">
          <cell r="I162" t="str">
            <v>NHC000854</v>
          </cell>
          <cell r="J162" t="str">
            <v>Property, plant &amp; equipment, Movable assets, FURNITURE AND FITTINGS, Other Assets, Wiston W/B Couch</v>
          </cell>
          <cell r="K162" t="str">
            <v>Wiston W/B Couch</v>
          </cell>
          <cell r="N162">
            <v>1</v>
          </cell>
          <cell r="O162" t="str">
            <v>Main offices</v>
          </cell>
          <cell r="P162" t="str">
            <v xml:space="preserve">Basement storage </v>
          </cell>
        </row>
        <row r="163">
          <cell r="I163" t="str">
            <v>NHC000348</v>
          </cell>
          <cell r="J163" t="str">
            <v>Property, plant &amp; equipment, Movable assets, FURNITURE AND FITTINGS, Other Assets, Water Feature on Stand</v>
          </cell>
          <cell r="K163" t="str">
            <v>Water Feature on Stand</v>
          </cell>
          <cell r="N163">
            <v>1</v>
          </cell>
          <cell r="O163" t="str">
            <v>Main offices</v>
          </cell>
          <cell r="P163" t="str">
            <v xml:space="preserve">Basement storage </v>
          </cell>
        </row>
        <row r="164">
          <cell r="I164" t="str">
            <v>NHC 00332</v>
          </cell>
          <cell r="J164" t="str">
            <v>Property, plant &amp; equipment, Movable assets, FURNITURE AND FITTINGS, Other Assets, Bar Fridge wood cladding</v>
          </cell>
          <cell r="K164" t="str">
            <v>Bar Fridge wood cladding</v>
          </cell>
          <cell r="N164">
            <v>1</v>
          </cell>
          <cell r="O164" t="str">
            <v>Main offices</v>
          </cell>
          <cell r="P164" t="str">
            <v xml:space="preserve">Basement storage </v>
          </cell>
        </row>
        <row r="165">
          <cell r="I165" t="str">
            <v>NHC174</v>
          </cell>
          <cell r="J165" t="str">
            <v>Property, plant &amp; equipment, Movable assets, FURNITURE AND FITTINGS, Other Assets, Windsor double seater couch leather</v>
          </cell>
          <cell r="K165" t="str">
            <v>Windsor double seater couch leather</v>
          </cell>
          <cell r="N165">
            <v>1</v>
          </cell>
          <cell r="O165" t="str">
            <v>Main offices</v>
          </cell>
          <cell r="P165" t="str">
            <v xml:space="preserve">Basement storage </v>
          </cell>
        </row>
        <row r="166">
          <cell r="I166" t="str">
            <v>NHC0088</v>
          </cell>
          <cell r="J166" t="str">
            <v>Property, plant &amp; equipment, Movable assets, FURNITURE AND FITTINGS, Other Assets, Valence dining table 1900x850mm</v>
          </cell>
          <cell r="K166" t="str">
            <v>Valence dining table 1900x850mm</v>
          </cell>
          <cell r="N166">
            <v>1</v>
          </cell>
          <cell r="O166" t="str">
            <v>Main offices</v>
          </cell>
          <cell r="P166" t="str">
            <v xml:space="preserve">Basement storage </v>
          </cell>
        </row>
        <row r="167">
          <cell r="I167">
            <v>1230</v>
          </cell>
          <cell r="J167" t="str">
            <v>Property, plant &amp; equipment, Movable assets, FURNITURE AND FITTINGS, Other Assets, Mobile Pedestal</v>
          </cell>
          <cell r="K167" t="str">
            <v>Mobile Pedestal</v>
          </cell>
          <cell r="N167">
            <v>1</v>
          </cell>
          <cell r="O167" t="str">
            <v>Main offices</v>
          </cell>
          <cell r="P167" t="str">
            <v xml:space="preserve">Basement storage </v>
          </cell>
        </row>
        <row r="168">
          <cell r="I168">
            <v>1211</v>
          </cell>
          <cell r="J168" t="str">
            <v>Property, plant &amp; equipment, Movable assets, FURNITURE AND FITTINGS, Other Assets, Chair/ Light Green</v>
          </cell>
          <cell r="K168" t="str">
            <v>Chair/ Light Green</v>
          </cell>
          <cell r="N168">
            <v>1</v>
          </cell>
          <cell r="O168" t="str">
            <v>Main offices</v>
          </cell>
          <cell r="P168" t="str">
            <v xml:space="preserve">Basement storage </v>
          </cell>
        </row>
        <row r="169">
          <cell r="I169">
            <v>1222</v>
          </cell>
          <cell r="J169" t="str">
            <v>Property, plant &amp; equipment, Movable assets, FURNITURE AND FITTINGS, Other Assets, Mobile Pedestal</v>
          </cell>
          <cell r="K169" t="str">
            <v>Mobile Pedestal</v>
          </cell>
          <cell r="N169">
            <v>1</v>
          </cell>
          <cell r="O169" t="str">
            <v>Main offices</v>
          </cell>
          <cell r="P169" t="str">
            <v xml:space="preserve">Basement storage </v>
          </cell>
        </row>
        <row r="170">
          <cell r="I170">
            <v>1221</v>
          </cell>
          <cell r="J170" t="str">
            <v>Property, plant &amp; equipment, Movable assets, FURNITURE AND FITTINGS, Other Assets, Mobile Pedestal</v>
          </cell>
          <cell r="K170" t="str">
            <v>Mobile Pedestal</v>
          </cell>
          <cell r="N170">
            <v>1</v>
          </cell>
          <cell r="O170" t="str">
            <v>Main offices</v>
          </cell>
          <cell r="P170" t="str">
            <v xml:space="preserve">Basement storage </v>
          </cell>
        </row>
        <row r="171">
          <cell r="I171" t="str">
            <v>NHC000920</v>
          </cell>
          <cell r="J171" t="str">
            <v>Property, plant &amp; equipment, Movable assets, FURNITURE AND FITTINGS, Other Assets, CHAIR HIGHBACK NETTING</v>
          </cell>
          <cell r="K171" t="str">
            <v>CHAIR HIGHBACK NETTING</v>
          </cell>
          <cell r="N171">
            <v>1</v>
          </cell>
          <cell r="O171" t="str">
            <v>Main offices</v>
          </cell>
          <cell r="P171" t="str">
            <v xml:space="preserve">Basement storage </v>
          </cell>
        </row>
        <row r="172">
          <cell r="I172" t="str">
            <v>NHC000831</v>
          </cell>
          <cell r="J172" t="str">
            <v>Property, plant &amp; equipment, Movable assets, FURNITURE AND FITTINGS, Other Assets, High Back Chair</v>
          </cell>
          <cell r="K172" t="str">
            <v>High Back Chair</v>
          </cell>
          <cell r="N172">
            <v>1</v>
          </cell>
          <cell r="O172" t="str">
            <v>Main offices</v>
          </cell>
          <cell r="P172" t="str">
            <v xml:space="preserve">Basement storage </v>
          </cell>
        </row>
        <row r="173">
          <cell r="I173" t="str">
            <v>NHC000467</v>
          </cell>
          <cell r="J173" t="str">
            <v>Property, plant &amp; equipment, Movable assets, FURNITURE AND FITTINGS, Other Assets, CD/DVD Unit</v>
          </cell>
          <cell r="K173" t="str">
            <v>CD/DVD Unit</v>
          </cell>
          <cell r="N173">
            <v>1</v>
          </cell>
          <cell r="O173" t="str">
            <v>Main offices</v>
          </cell>
          <cell r="P173" t="str">
            <v xml:space="preserve">Basement storage </v>
          </cell>
        </row>
        <row r="174">
          <cell r="I174">
            <v>1206</v>
          </cell>
          <cell r="J174" t="str">
            <v>Property, plant &amp; equipment, Movable assets, FURNITURE AND FITTINGS, Other Assets, Chair/ Light Green</v>
          </cell>
          <cell r="K174" t="str">
            <v>Chair/ Light Green</v>
          </cell>
          <cell r="N174">
            <v>1</v>
          </cell>
          <cell r="O174" t="str">
            <v>Main offices</v>
          </cell>
          <cell r="P174" t="str">
            <v xml:space="preserve">Basement storage </v>
          </cell>
        </row>
        <row r="175">
          <cell r="I175">
            <v>1201</v>
          </cell>
          <cell r="J175" t="str">
            <v>Property, plant &amp; equipment, Movable assets, FURNITURE AND FITTINGS, Other Assets, Chair/ Light Green</v>
          </cell>
          <cell r="K175" t="str">
            <v>Chair/ Light Green</v>
          </cell>
          <cell r="N175">
            <v>1</v>
          </cell>
          <cell r="O175" t="str">
            <v>Main offices</v>
          </cell>
          <cell r="P175" t="str">
            <v xml:space="preserve">Basement storage </v>
          </cell>
        </row>
        <row r="176">
          <cell r="I176">
            <v>1119</v>
          </cell>
          <cell r="J176" t="str">
            <v>Property, plant &amp; equipment, Movable assets, FURNITURE AND FITTINGS, Other Assets, High Back Chair</v>
          </cell>
          <cell r="K176" t="str">
            <v>High Back Chair</v>
          </cell>
          <cell r="N176">
            <v>1</v>
          </cell>
          <cell r="O176" t="str">
            <v>Main offices</v>
          </cell>
          <cell r="P176" t="str">
            <v xml:space="preserve">Basement storage </v>
          </cell>
        </row>
        <row r="177">
          <cell r="I177">
            <v>1025</v>
          </cell>
          <cell r="J177" t="str">
            <v>Property, plant &amp; equipment, Movable assets, FURNITURE AND FITTINGS, Other Assets, High Back Chair</v>
          </cell>
          <cell r="K177" t="str">
            <v>High Back Chair</v>
          </cell>
          <cell r="N177">
            <v>1</v>
          </cell>
          <cell r="O177" t="str">
            <v>Main offices</v>
          </cell>
          <cell r="P177" t="str">
            <v xml:space="preserve">Basement storage </v>
          </cell>
        </row>
        <row r="178">
          <cell r="I178" t="str">
            <v>NHC000922</v>
          </cell>
          <cell r="J178" t="str">
            <v>Property, plant &amp; equipment, Movable assets, FURNITURE AND FITTINGS, Other Assets, CHAIR HIGHBACK NETTING</v>
          </cell>
          <cell r="K178" t="str">
            <v>CHAIR HIGHBACK NETTING</v>
          </cell>
          <cell r="N178">
            <v>1</v>
          </cell>
          <cell r="O178" t="str">
            <v>Main offices</v>
          </cell>
          <cell r="P178" t="str">
            <v xml:space="preserve">Basement storage </v>
          </cell>
        </row>
        <row r="179">
          <cell r="I179" t="str">
            <v>NHC 000346</v>
          </cell>
          <cell r="J179" t="str">
            <v>Property, plant &amp; equipment, Movable assets, FURNITURE AND FITTINGS, Other Assets, Visitors Chair Leather</v>
          </cell>
          <cell r="K179" t="str">
            <v>Visitors Chair Leather</v>
          </cell>
          <cell r="N179">
            <v>1</v>
          </cell>
          <cell r="O179" t="str">
            <v>Main offices</v>
          </cell>
          <cell r="P179" t="str">
            <v xml:space="preserve">Basement storage </v>
          </cell>
        </row>
        <row r="180">
          <cell r="I180" t="str">
            <v>NHC000664</v>
          </cell>
          <cell r="J180" t="str">
            <v>Property, plant &amp; equipment, Movable assets, FURNITURE AND FITTINGS, Other Assets, CHAIR VISITOR</v>
          </cell>
          <cell r="K180" t="str">
            <v>CHAIR VISITOR</v>
          </cell>
          <cell r="N180">
            <v>1</v>
          </cell>
          <cell r="O180" t="str">
            <v>Main offices</v>
          </cell>
          <cell r="P180" t="str">
            <v xml:space="preserve">Basement storage </v>
          </cell>
        </row>
        <row r="181">
          <cell r="I181" t="str">
            <v>NHC000679</v>
          </cell>
          <cell r="J181" t="str">
            <v>Property, plant &amp; equipment, Movable assets, FURNITURE AND FITTINGS, Other Assets, CHAIR HIGHBACK NETTING</v>
          </cell>
          <cell r="K181" t="str">
            <v>CHAIR HIGHBACK NETTING</v>
          </cell>
          <cell r="N181">
            <v>1</v>
          </cell>
          <cell r="O181" t="str">
            <v>Main offices</v>
          </cell>
          <cell r="P181" t="str">
            <v xml:space="preserve">Basement storage </v>
          </cell>
        </row>
        <row r="182">
          <cell r="I182" t="str">
            <v>NHC000694</v>
          </cell>
          <cell r="J182" t="str">
            <v>Property, plant &amp; equipment, Movable assets, FURNITURE AND FITTINGS, Other Assets, CHAIR HIGHBACK LEATHER</v>
          </cell>
          <cell r="K182" t="str">
            <v>CHAIR HIGHBACK LEATHER</v>
          </cell>
          <cell r="N182">
            <v>1</v>
          </cell>
          <cell r="O182" t="str">
            <v>Main offices</v>
          </cell>
          <cell r="P182" t="str">
            <v xml:space="preserve">Basement storage </v>
          </cell>
        </row>
        <row r="183">
          <cell r="I183" t="str">
            <v>NHC 000855</v>
          </cell>
          <cell r="J183" t="str">
            <v>Property, plant &amp; equipment, Movable assets, FURNITURE AND FITTINGS, Other Assets, Leather Chair</v>
          </cell>
          <cell r="K183" t="str">
            <v>Leather Chair</v>
          </cell>
          <cell r="N183">
            <v>1</v>
          </cell>
          <cell r="O183" t="str">
            <v>Main offices</v>
          </cell>
          <cell r="P183" t="str">
            <v xml:space="preserve">Basement storage </v>
          </cell>
        </row>
        <row r="184">
          <cell r="I184">
            <v>1210</v>
          </cell>
          <cell r="J184" t="str">
            <v>Property, plant &amp; equipment, Movable assets, FURNITURE AND FITTINGS, Other Assets, Chair/ Light Green</v>
          </cell>
          <cell r="K184" t="str">
            <v>Chair/ Light Green</v>
          </cell>
          <cell r="N184">
            <v>1</v>
          </cell>
          <cell r="O184" t="str">
            <v>Main offices</v>
          </cell>
          <cell r="P184" t="str">
            <v xml:space="preserve">Basement storage </v>
          </cell>
        </row>
        <row r="185">
          <cell r="I185">
            <v>1202</v>
          </cell>
          <cell r="J185" t="str">
            <v>Property, plant &amp; equipment, Movable assets, FURNITURE AND FITTINGS, Other Assets, Chair/ Light Green</v>
          </cell>
          <cell r="K185" t="str">
            <v>Chair/ Light Green</v>
          </cell>
          <cell r="N185">
            <v>1</v>
          </cell>
          <cell r="O185" t="str">
            <v>Main offices</v>
          </cell>
          <cell r="P185" t="str">
            <v xml:space="preserve">Basement storage </v>
          </cell>
        </row>
        <row r="186">
          <cell r="I186">
            <v>1215</v>
          </cell>
          <cell r="J186" t="str">
            <v>Property, plant &amp; equipment, Movable assets, FURNITURE AND FITTINGS, Other Assets, Chair/ Light Green</v>
          </cell>
          <cell r="K186" t="str">
            <v>Chair/ Light Green</v>
          </cell>
          <cell r="N186">
            <v>1</v>
          </cell>
          <cell r="O186" t="str">
            <v>Main offices</v>
          </cell>
          <cell r="P186" t="str">
            <v xml:space="preserve">Basement storage </v>
          </cell>
        </row>
        <row r="187">
          <cell r="I187">
            <v>1217</v>
          </cell>
          <cell r="J187" t="str">
            <v>Property, plant &amp; equipment, Movable assets, FURNITURE AND FITTINGS, Other Assets, Chair/ Light Green</v>
          </cell>
          <cell r="K187" t="str">
            <v>Chair/ Light Green</v>
          </cell>
          <cell r="N187">
            <v>1</v>
          </cell>
          <cell r="O187" t="str">
            <v>Main offices</v>
          </cell>
          <cell r="P187" t="str">
            <v xml:space="preserve">Basement storage </v>
          </cell>
        </row>
        <row r="188">
          <cell r="I188">
            <v>1209</v>
          </cell>
          <cell r="J188" t="str">
            <v>Property, plant &amp; equipment, Movable assets, FURNITURE AND FITTINGS, Other Assets, Chair/ Light Green</v>
          </cell>
          <cell r="K188" t="str">
            <v>Chair/ Light Green</v>
          </cell>
          <cell r="N188">
            <v>1</v>
          </cell>
          <cell r="O188" t="str">
            <v>Main offices</v>
          </cell>
          <cell r="P188" t="str">
            <v xml:space="preserve">Basement storage </v>
          </cell>
        </row>
        <row r="189">
          <cell r="I189">
            <v>1218</v>
          </cell>
          <cell r="J189" t="str">
            <v>Property, plant &amp; equipment, Movable assets, FURNITURE AND FITTINGS, Other Assets, Chair/ Light Green</v>
          </cell>
          <cell r="K189" t="str">
            <v>Chair/ Light Green</v>
          </cell>
          <cell r="N189">
            <v>1</v>
          </cell>
          <cell r="O189" t="str">
            <v>Main offices</v>
          </cell>
          <cell r="P189" t="str">
            <v xml:space="preserve">Basement storage </v>
          </cell>
        </row>
        <row r="190">
          <cell r="I190" t="str">
            <v>NHC700</v>
          </cell>
          <cell r="J190" t="str">
            <v>Property, plant &amp; equipment, Movable assets, FURNITURE AND FITTINGS, Other Assets, High Back Leather Chair</v>
          </cell>
          <cell r="K190" t="str">
            <v>High Back Leather Chair</v>
          </cell>
          <cell r="N190">
            <v>1</v>
          </cell>
          <cell r="O190" t="str">
            <v>Main offices</v>
          </cell>
          <cell r="P190" t="str">
            <v xml:space="preserve">Basement storage </v>
          </cell>
        </row>
        <row r="191">
          <cell r="I191" t="str">
            <v>NHC000829</v>
          </cell>
          <cell r="J191" t="str">
            <v>Property, plant &amp; equipment, Movable assets, FURNITURE AND FITTINGS, Other Assets, High Back Chair</v>
          </cell>
          <cell r="K191" t="str">
            <v>High Back Chair</v>
          </cell>
          <cell r="N191">
            <v>1</v>
          </cell>
          <cell r="O191" t="str">
            <v>Main offices</v>
          </cell>
          <cell r="P191" t="str">
            <v xml:space="preserve">Basement storage </v>
          </cell>
        </row>
        <row r="192">
          <cell r="I192">
            <v>1204</v>
          </cell>
          <cell r="J192" t="str">
            <v>Property, plant &amp; equipment, Movable assets, FURNITURE AND FITTINGS, Other Assets, Chair/ Light Green</v>
          </cell>
          <cell r="K192" t="str">
            <v>Chair/ Light Green</v>
          </cell>
          <cell r="N192">
            <v>1</v>
          </cell>
          <cell r="O192" t="str">
            <v>Main offices</v>
          </cell>
          <cell r="P192" t="str">
            <v xml:space="preserve">Basement storage </v>
          </cell>
        </row>
        <row r="193">
          <cell r="I193" t="str">
            <v>NHC000917</v>
          </cell>
          <cell r="J193" t="str">
            <v>Property, plant &amp; equipment, Movable assets, FURNITURE AND FITTINGS, Other Assets, CHAIR HIGHBACK NETTING</v>
          </cell>
          <cell r="K193" t="str">
            <v>CHAIR HIGHBACK NETTING</v>
          </cell>
          <cell r="N193">
            <v>1</v>
          </cell>
          <cell r="O193" t="str">
            <v>Main offices</v>
          </cell>
          <cell r="P193" t="str">
            <v xml:space="preserve">Basement storage </v>
          </cell>
        </row>
        <row r="194">
          <cell r="I194" t="str">
            <v>nhc000984</v>
          </cell>
          <cell r="J194" t="str">
            <v>Property, plant &amp; equipment, Movable assets, FURNITURE AND FITTINGS, Other Assets, leather chair visitor</v>
          </cell>
          <cell r="K194" t="str">
            <v>leather chair visitor</v>
          </cell>
          <cell r="N194">
            <v>1</v>
          </cell>
          <cell r="O194" t="str">
            <v>Main offices</v>
          </cell>
          <cell r="P194" t="str">
            <v xml:space="preserve">Basement storage </v>
          </cell>
        </row>
        <row r="195">
          <cell r="I195">
            <v>1023</v>
          </cell>
          <cell r="J195" t="str">
            <v>Property, plant &amp; equipment, Movable assets, FURNITURE AND FITTINGS, Other Assets, High Back Chair</v>
          </cell>
          <cell r="K195" t="str">
            <v>High Back Chair</v>
          </cell>
          <cell r="N195">
            <v>1</v>
          </cell>
          <cell r="O195" t="str">
            <v>Main offices</v>
          </cell>
          <cell r="P195" t="str">
            <v xml:space="preserve">Basement storage </v>
          </cell>
        </row>
        <row r="196">
          <cell r="I196" t="str">
            <v>NHC000702</v>
          </cell>
          <cell r="J196" t="str">
            <v>Property, plant &amp; equipment, Movable assets, FURNITURE AND FITTINGS, Other Assets, High Street Visitors Chair Black Bonded Leather</v>
          </cell>
          <cell r="K196" t="str">
            <v>High Street Visitors Chair Black Bonded Leather</v>
          </cell>
          <cell r="N196">
            <v>1</v>
          </cell>
          <cell r="O196" t="str">
            <v>Main offices</v>
          </cell>
          <cell r="P196" t="str">
            <v xml:space="preserve">Basement storage </v>
          </cell>
        </row>
        <row r="197">
          <cell r="I197" t="str">
            <v>NHC000816</v>
          </cell>
          <cell r="J197" t="str">
            <v>Property, plant &amp; equipment, Movable assets, OFFICE EQUIPMENT AND TOOLS, Other Assets, Aluminium briefcase with foam cut outs</v>
          </cell>
          <cell r="K197" t="str">
            <v>Aluminium briefcase with foam cut outs</v>
          </cell>
          <cell r="N197">
            <v>1</v>
          </cell>
          <cell r="O197" t="str">
            <v>Main offices</v>
          </cell>
          <cell r="P197" t="str">
            <v xml:space="preserve">Basement storage </v>
          </cell>
        </row>
        <row r="198">
          <cell r="I198">
            <v>1296</v>
          </cell>
          <cell r="J198" t="str">
            <v>Property, plant &amp; equipment, Movable assets, COMPUTER EQUIPMENT, Other Assets, DELL LAPTOP/Stella</v>
          </cell>
          <cell r="K198" t="str">
            <v>DELL LAPTOP/Stella</v>
          </cell>
          <cell r="N198">
            <v>1</v>
          </cell>
          <cell r="O198" t="str">
            <v>Main offices</v>
          </cell>
          <cell r="P198" t="str">
            <v xml:space="preserve">Basement storage </v>
          </cell>
        </row>
        <row r="199">
          <cell r="I199">
            <v>1538</v>
          </cell>
          <cell r="J199" t="str">
            <v>Property, plant &amp; equipment, Movable assets, COMPUTER EQUIPMENT, Other Assets, DELL LAPTOP/Sthombe/Dr Lukhwareni</v>
          </cell>
          <cell r="K199" t="str">
            <v>DELL LAPTOP/Sthombe/Dr Lukhwareni</v>
          </cell>
          <cell r="N199">
            <v>1</v>
          </cell>
          <cell r="O199" t="str">
            <v>Main offices</v>
          </cell>
          <cell r="P199" t="str">
            <v xml:space="preserve">Basement storage </v>
          </cell>
        </row>
        <row r="200">
          <cell r="I200">
            <v>1286</v>
          </cell>
          <cell r="J200" t="str">
            <v>Property, plant &amp; equipment, Movable assets, COMPUTER EQUIPMENT, Other Assets, DELL LAPTOP/Yako</v>
          </cell>
          <cell r="K200" t="str">
            <v>DELL LAPTOP/Yako</v>
          </cell>
          <cell r="N200">
            <v>1</v>
          </cell>
          <cell r="O200" t="str">
            <v>Main offices</v>
          </cell>
          <cell r="P200" t="str">
            <v xml:space="preserve">Basement storage </v>
          </cell>
        </row>
        <row r="201">
          <cell r="I201">
            <v>1253</v>
          </cell>
          <cell r="J201" t="str">
            <v>Property, plant &amp; equipment, Movable assets, COMPUTER EQUIPMENT, Other Assets, Dell Laptop/Zim</v>
          </cell>
          <cell r="K201" t="str">
            <v>Dell Laptop/Zim</v>
          </cell>
          <cell r="N201">
            <v>1</v>
          </cell>
          <cell r="O201" t="str">
            <v>Main offices</v>
          </cell>
          <cell r="P201" t="str">
            <v xml:space="preserve">Basement storage </v>
          </cell>
        </row>
        <row r="202">
          <cell r="I202">
            <v>1262</v>
          </cell>
          <cell r="J202" t="str">
            <v>Property, plant &amp; equipment, Movable assets, COMPUTER EQUIPMENT, Other Assets, Dell Laptop/Danny</v>
          </cell>
          <cell r="K202" t="str">
            <v>Dell Laptop/Danny</v>
          </cell>
          <cell r="N202">
            <v>1</v>
          </cell>
          <cell r="O202" t="str">
            <v>Main offices</v>
          </cell>
          <cell r="P202" t="str">
            <v xml:space="preserve">Basement storage </v>
          </cell>
        </row>
        <row r="203">
          <cell r="I203">
            <v>1073</v>
          </cell>
          <cell r="J203" t="str">
            <v>Property, plant &amp; equipment, Movable assets, COMPUTER EQUIPMENT, Other Assets, DELL LAPTOP</v>
          </cell>
          <cell r="K203" t="str">
            <v>DELL LAPTOP</v>
          </cell>
          <cell r="N203">
            <v>1</v>
          </cell>
          <cell r="O203" t="str">
            <v>Main offices</v>
          </cell>
          <cell r="P203" t="str">
            <v xml:space="preserve">Basement storage </v>
          </cell>
        </row>
        <row r="204">
          <cell r="I204">
            <v>1426</v>
          </cell>
          <cell r="J204" t="str">
            <v>Property, plant &amp; equipment, Movable assets, OFFICE EQUIPMENT AND TOOLS, Other Assets, Foot Pedal Sanitiser Dispenser</v>
          </cell>
          <cell r="K204" t="str">
            <v>Foot Pedal Sanitiser Dispenser</v>
          </cell>
          <cell r="N204">
            <v>1</v>
          </cell>
          <cell r="O204" t="str">
            <v>Main offices</v>
          </cell>
          <cell r="P204" t="str">
            <v xml:space="preserve">Basement storage </v>
          </cell>
        </row>
        <row r="205">
          <cell r="I205" t="str">
            <v>NHC001554</v>
          </cell>
          <cell r="J205" t="str">
            <v>Property, plant &amp; equipment, Movable assets, COMPUTER EQUIPMENT, Other Assets, Laptop Dell Mobile Precision Workstation 3561 CTO</v>
          </cell>
          <cell r="K205" t="str">
            <v>Laptop Dell Mobile Precision Workstation 3561 CTO</v>
          </cell>
          <cell r="N205">
            <v>1</v>
          </cell>
          <cell r="O205" t="str">
            <v>Main offices</v>
          </cell>
          <cell r="P205" t="str">
            <v xml:space="preserve">Basement storage </v>
          </cell>
        </row>
        <row r="206">
          <cell r="I206" t="str">
            <v>001637</v>
          </cell>
          <cell r="J206" t="str">
            <v>Property, plant &amp; equipment, Movable assets, COMPUTER EQUIPMENT, Other Assets, Lenovo Laptop - Bongeka Buthelezi</v>
          </cell>
          <cell r="K206" t="str">
            <v xml:space="preserve">lenovo laptop N.Gawula </v>
          </cell>
          <cell r="L206" t="str">
            <v>pW0DYF7ZPWN0B4A04008</v>
          </cell>
          <cell r="N206">
            <v>1</v>
          </cell>
          <cell r="O206" t="str">
            <v>Main offices</v>
          </cell>
          <cell r="P206" t="str">
            <v>Server room finance</v>
          </cell>
        </row>
        <row r="207">
          <cell r="I207" t="str">
            <v>001551</v>
          </cell>
          <cell r="J207" t="str">
            <v>Property, plant &amp; equipment, Movable assets, COMPUTER EQUIPMENT, Other Assets, Lenovo Laptop - Bongeka Buthelezi</v>
          </cell>
          <cell r="K207" t="str">
            <v xml:space="preserve">lenovo laptop N.Gawula </v>
          </cell>
          <cell r="L207" t="str">
            <v>pW0DYF7QPWN0B4A04008</v>
          </cell>
          <cell r="N207">
            <v>1</v>
          </cell>
          <cell r="O207" t="str">
            <v>Main offices</v>
          </cell>
          <cell r="P207" t="str">
            <v>Server room finance</v>
          </cell>
        </row>
        <row r="208">
          <cell r="I208" t="str">
            <v>001563</v>
          </cell>
          <cell r="J208" t="str">
            <v>Property, plant &amp; equipment, Movable assets, COMPUTER EQUIPMENT, Other Assets, Lenovo Laptop - Bongeka Buthelezi</v>
          </cell>
          <cell r="K208" t="str">
            <v xml:space="preserve">lenovo laptop N.Gawula </v>
          </cell>
          <cell r="L208" t="str">
            <v>pW0DYF72PWN0B4A04008</v>
          </cell>
          <cell r="N208">
            <v>1</v>
          </cell>
          <cell r="O208" t="str">
            <v>Main offices</v>
          </cell>
          <cell r="P208" t="str">
            <v>Server room finance</v>
          </cell>
        </row>
        <row r="209">
          <cell r="I209" t="str">
            <v>001527</v>
          </cell>
          <cell r="J209" t="str">
            <v>Property, plant &amp; equipment, Movable assets, COMPUTER EQUIPMENT, Other Assets, Lenovo Laptop - Bongeka Buthelezi</v>
          </cell>
          <cell r="K209" t="str">
            <v xml:space="preserve">lenovo laptop N.Gawula </v>
          </cell>
          <cell r="L209" t="str">
            <v>pW0DYF8FPWN0B4A04008</v>
          </cell>
          <cell r="N209">
            <v>1</v>
          </cell>
          <cell r="O209" t="str">
            <v>Main offices</v>
          </cell>
          <cell r="P209" t="str">
            <v>Server room finance</v>
          </cell>
        </row>
        <row r="210">
          <cell r="I210" t="str">
            <v>001979</v>
          </cell>
          <cell r="J210" t="str">
            <v>Property, plant &amp; equipment, Movable assets, COMPUTER EQUIPMENT, Other Assets, Lenovo Laptop - Bongeka Buthelezi</v>
          </cell>
          <cell r="K210" t="str">
            <v xml:space="preserve">lenovo laptop N.Gawula </v>
          </cell>
          <cell r="L210" t="str">
            <v>pW0DYF7APWN0B4A04008</v>
          </cell>
          <cell r="N210">
            <v>1</v>
          </cell>
          <cell r="O210" t="str">
            <v>Main offices</v>
          </cell>
          <cell r="P210" t="str">
            <v>Server room finance</v>
          </cell>
        </row>
        <row r="211">
          <cell r="I211" t="str">
            <v>001923</v>
          </cell>
          <cell r="J211" t="str">
            <v>Property, plant &amp; equipment, Movable assets, COMPUTER EQUIPMENT, Other Assets, Lenovo Laptop - Bongeka Buthelezi</v>
          </cell>
          <cell r="K211" t="str">
            <v xml:space="preserve">lenovo laptop N.Gawula </v>
          </cell>
          <cell r="L211" t="str">
            <v>pW0DYF7KPWN0B4A04008</v>
          </cell>
          <cell r="N211">
            <v>1</v>
          </cell>
          <cell r="O211" t="str">
            <v>Main offices</v>
          </cell>
          <cell r="P211" t="str">
            <v>Server room finance</v>
          </cell>
        </row>
        <row r="212">
          <cell r="I212" t="str">
            <v>001528</v>
          </cell>
          <cell r="J212" t="str">
            <v>Property, plant &amp; equipment, Movable assets, COMPUTER EQUIPMENT, Other Assets, Lenovo Laptop - Bongeka Buthelezi</v>
          </cell>
          <cell r="K212" t="str">
            <v xml:space="preserve">lenova laptop N. gawula </v>
          </cell>
          <cell r="L212" t="str">
            <v>pW0DYF81PWN0B4A04008</v>
          </cell>
          <cell r="N212">
            <v>1</v>
          </cell>
          <cell r="O212" t="str">
            <v>Main offices</v>
          </cell>
          <cell r="P212" t="str">
            <v>Server room finance</v>
          </cell>
        </row>
        <row r="213">
          <cell r="I213" t="str">
            <v>001996</v>
          </cell>
          <cell r="J213" t="str">
            <v>Property, plant &amp; equipment, Movable assets, COMPUTER EQUIPMENT, Other Assets, Lenovo Laptop - Bongeka Buthelezi</v>
          </cell>
          <cell r="K213" t="str">
            <v>lenova lapto-N.Gawula</v>
          </cell>
          <cell r="L213" t="str">
            <v>pW0DYF86PWN0B4A04008</v>
          </cell>
          <cell r="N213">
            <v>1</v>
          </cell>
          <cell r="O213" t="str">
            <v>Main offices</v>
          </cell>
          <cell r="P213" t="str">
            <v>Server room finance</v>
          </cell>
        </row>
        <row r="214">
          <cell r="I214" t="str">
            <v>001539</v>
          </cell>
          <cell r="J214" t="str">
            <v>Property, plant &amp; equipment, Movable assets, COMPUTER EQUIPMENT, Other Assets, Lenovo Laptop - Bongeka Buthelezi</v>
          </cell>
          <cell r="K214" t="str">
            <v>lenova laptop-N.Gawula</v>
          </cell>
          <cell r="L214" t="str">
            <v>pW0DYF7HPWN0B4A04008</v>
          </cell>
          <cell r="N214">
            <v>1</v>
          </cell>
          <cell r="O214" t="str">
            <v>Main offices</v>
          </cell>
          <cell r="P214" t="str">
            <v>Server room finance</v>
          </cell>
        </row>
        <row r="215">
          <cell r="I215" t="str">
            <v>001531</v>
          </cell>
          <cell r="J215" t="str">
            <v>Property, plant &amp; equipment, Movable assets, COMPUTER EQUIPMENT, Other Assets, Lenovo Laptop - Bongeka Buthelezi</v>
          </cell>
          <cell r="K215" t="str">
            <v>lenova laptop-N.Gawula</v>
          </cell>
          <cell r="L215" t="str">
            <v>pW0DYF8DPWN0B4A04008</v>
          </cell>
          <cell r="N215">
            <v>1</v>
          </cell>
          <cell r="O215" t="str">
            <v>Main offices</v>
          </cell>
          <cell r="P215" t="str">
            <v>Server room finance</v>
          </cell>
        </row>
        <row r="216">
          <cell r="I216" t="str">
            <v>001560</v>
          </cell>
          <cell r="J216" t="str">
            <v>Property, plant &amp; equipment, Movable assets, COMPUTER EQUIPMENT, Other Assets, Lenovo Laptop - Bongeka Buthelezi</v>
          </cell>
          <cell r="K216" t="str">
            <v>lenovo laptop-N. Gawula</v>
          </cell>
          <cell r="L216" t="str">
            <v>pW0DYF7DPWN0B4A04008</v>
          </cell>
          <cell r="N216">
            <v>1</v>
          </cell>
          <cell r="O216" t="str">
            <v>Main offices</v>
          </cell>
          <cell r="P216" t="str">
            <v>Server room finance</v>
          </cell>
        </row>
        <row r="217">
          <cell r="I217" t="str">
            <v>001829</v>
          </cell>
          <cell r="J217" t="str">
            <v>Property, plant &amp; equipment, Movable assets, COMPUTER EQUIPMENT, Other Assets, Lenovo Laptop - Bongeka Buthelezi</v>
          </cell>
          <cell r="K217" t="str">
            <v>lenovo laptop-N.Gawula</v>
          </cell>
          <cell r="L217" t="str">
            <v>pW0DYF7TPWN0B4A04008</v>
          </cell>
          <cell r="N217">
            <v>1</v>
          </cell>
          <cell r="O217" t="str">
            <v>Main offices</v>
          </cell>
          <cell r="P217" t="str">
            <v>Server room finance</v>
          </cell>
        </row>
        <row r="218">
          <cell r="I218" t="str">
            <v>001700</v>
          </cell>
          <cell r="J218" t="str">
            <v>Property, plant &amp; equipment, Movable assets, COMPUTER EQUIPMENT, Other Assets, Lenovo Laptop - Bongeka Buthelezi</v>
          </cell>
          <cell r="K218" t="str">
            <v>lenovo laptop-N.Gawula</v>
          </cell>
          <cell r="L218" t="str">
            <v>pW0DYF8HPWN0B4A04008</v>
          </cell>
          <cell r="N218">
            <v>1</v>
          </cell>
          <cell r="O218" t="str">
            <v>Main offices</v>
          </cell>
          <cell r="P218" t="str">
            <v>Server room finance</v>
          </cell>
        </row>
        <row r="219">
          <cell r="I219">
            <v>1978</v>
          </cell>
          <cell r="J219" t="str">
            <v>Property, plant &amp; equipment, Movable assets, COMPUTER EQUIPMENT, Other Assets, Projector - Mainboardroom</v>
          </cell>
          <cell r="K219" t="str">
            <v>Projector - Mainboardroom</v>
          </cell>
          <cell r="L219" t="str">
            <v>XBPB3300468</v>
          </cell>
          <cell r="N219">
            <v>1</v>
          </cell>
          <cell r="O219" t="str">
            <v>Main offices</v>
          </cell>
          <cell r="P219" t="str">
            <v>Server room finance</v>
          </cell>
        </row>
        <row r="220">
          <cell r="I220">
            <v>1069</v>
          </cell>
          <cell r="J220" t="str">
            <v>Property, plant &amp; equipment, Movable assets, OFFICE EQUIPMENT AND TOOLS, Other Assets, Dstv Decoder</v>
          </cell>
          <cell r="K220" t="str">
            <v>Dstv Decoder</v>
          </cell>
          <cell r="N220">
            <v>1</v>
          </cell>
          <cell r="O220" t="str">
            <v>Main offices</v>
          </cell>
          <cell r="P220" t="str">
            <v>Server room finance</v>
          </cell>
        </row>
        <row r="221">
          <cell r="I221" t="str">
            <v>NHC001546</v>
          </cell>
          <cell r="J221" t="str">
            <v>Property, plant &amp; equipment, Movable assets, COMPUTER EQUIPMENT, Other Assets, Laptop Dell Mobile Precision Workstation 3561 CTO</v>
          </cell>
          <cell r="K221" t="str">
            <v>Laptop Dell Mobile Precision Workstation 3561 CTO</v>
          </cell>
          <cell r="L221" t="str">
            <v>7rv5tl3</v>
          </cell>
          <cell r="N221">
            <v>1</v>
          </cell>
          <cell r="O221" t="str">
            <v>Main offices</v>
          </cell>
          <cell r="P221" t="str">
            <v>Server room finance</v>
          </cell>
        </row>
        <row r="222">
          <cell r="I222">
            <v>1066</v>
          </cell>
          <cell r="J222" t="str">
            <v>Property, plant &amp; equipment, Movable assets, COMPUTER EQUIPMENT, Other Assets, Desktop Computer CPU (Reception)</v>
          </cell>
          <cell r="K222" t="str">
            <v>Desktop Computer CPU (Reception)</v>
          </cell>
          <cell r="L222" t="str">
            <v>C2QJY2</v>
          </cell>
          <cell r="N222">
            <v>1</v>
          </cell>
          <cell r="O222" t="str">
            <v>Main offices</v>
          </cell>
          <cell r="P222" t="str">
            <v>Server room finance</v>
          </cell>
        </row>
        <row r="223">
          <cell r="I223" t="str">
            <v>NHC000740</v>
          </cell>
          <cell r="J223" t="str">
            <v>Property, plant &amp; equipment, Movable assets, OFFICE EQUIPMENT AND TOOLS, Other Assets, Vaccum Cleaner</v>
          </cell>
          <cell r="K223" t="str">
            <v>Vaccum Cleaner</v>
          </cell>
          <cell r="N223">
            <v>1</v>
          </cell>
          <cell r="O223" t="str">
            <v>Main offices</v>
          </cell>
          <cell r="P223" t="str">
            <v>Server room finance</v>
          </cell>
        </row>
        <row r="224">
          <cell r="I224">
            <v>1437</v>
          </cell>
          <cell r="J224" t="str">
            <v>Property, plant &amp; equipment, Movable assets, COMPUTER EQUIPMENT, Other Assets, Dell Laptop/Maso New</v>
          </cell>
          <cell r="K224" t="str">
            <v>Dell Laptop/Maso New</v>
          </cell>
          <cell r="N224">
            <v>1</v>
          </cell>
          <cell r="O224" t="str">
            <v>Main offices</v>
          </cell>
          <cell r="P224" t="str">
            <v xml:space="preserve">R2 Open plan finance </v>
          </cell>
        </row>
        <row r="225">
          <cell r="I225">
            <v>1553</v>
          </cell>
          <cell r="J225" t="str">
            <v>Property, plant &amp; equipment, Movable assets, COMPUTER EQUIPMENT, Other Assets, LENOVO LAPTOP/Zama</v>
          </cell>
          <cell r="K225" t="str">
            <v>LENOVO LAPTOP/Zama</v>
          </cell>
          <cell r="L225" t="str">
            <v>r912SBRAR9N0B151400H</v>
          </cell>
          <cell r="N225">
            <v>1</v>
          </cell>
          <cell r="O225" t="str">
            <v>Main offices</v>
          </cell>
          <cell r="P225" t="str">
            <v>Open plan Risk</v>
          </cell>
        </row>
        <row r="226">
          <cell r="I226" t="str">
            <v>NHC000488</v>
          </cell>
          <cell r="J226" t="str">
            <v>Property, plant &amp; equipment, Movable assets, FURNITURE AND FITTINGS, Other Assets, Filing System</v>
          </cell>
          <cell r="K226" t="str">
            <v>Filing System</v>
          </cell>
          <cell r="N226">
            <v>1</v>
          </cell>
          <cell r="O226" t="str">
            <v>Main offices</v>
          </cell>
          <cell r="P226" t="str">
            <v>Open Plan finance</v>
          </cell>
        </row>
        <row r="227">
          <cell r="I227" t="str">
            <v>NHC 000590</v>
          </cell>
          <cell r="J227" t="str">
            <v>Property, plant &amp; equipment, Movable assets, FURNITURE AND FITTINGS, Other Assets, Cabinet</v>
          </cell>
          <cell r="K227" t="str">
            <v>Cabinet</v>
          </cell>
          <cell r="N227">
            <v>1</v>
          </cell>
          <cell r="O227" t="str">
            <v>Main offices</v>
          </cell>
          <cell r="P227" t="str">
            <v>R31</v>
          </cell>
        </row>
        <row r="228">
          <cell r="I228" t="str">
            <v>NHC 000588</v>
          </cell>
          <cell r="J228" t="str">
            <v>Property, plant &amp; equipment, Movable assets, FURNITURE AND FITTINGS, Other Assets, Cabinet</v>
          </cell>
          <cell r="K228" t="str">
            <v>Cabinet</v>
          </cell>
          <cell r="N228">
            <v>1</v>
          </cell>
          <cell r="O228" t="str">
            <v>Main offices</v>
          </cell>
          <cell r="P228" t="str">
            <v>R31</v>
          </cell>
        </row>
        <row r="229">
          <cell r="I229" t="str">
            <v>NHC 000582</v>
          </cell>
          <cell r="J229" t="str">
            <v>Property, plant &amp; equipment, Movable assets, FURNITURE AND FITTINGS, Other Assets, Cabinet</v>
          </cell>
          <cell r="K229" t="str">
            <v>Cabinet</v>
          </cell>
          <cell r="N229">
            <v>1</v>
          </cell>
          <cell r="O229" t="str">
            <v>Main offices</v>
          </cell>
          <cell r="P229" t="str">
            <v>R31</v>
          </cell>
        </row>
        <row r="230">
          <cell r="I230" t="str">
            <v>NHC 000583</v>
          </cell>
          <cell r="J230" t="str">
            <v>Property, plant &amp; equipment, Movable assets, FURNITURE AND FITTINGS, Other Assets, Cabinet</v>
          </cell>
          <cell r="K230" t="str">
            <v>Cabinet</v>
          </cell>
          <cell r="N230">
            <v>1</v>
          </cell>
          <cell r="O230" t="str">
            <v>Main offices</v>
          </cell>
          <cell r="P230" t="str">
            <v>R31</v>
          </cell>
        </row>
        <row r="231">
          <cell r="I231" t="str">
            <v>NHC 000592</v>
          </cell>
          <cell r="J231" t="str">
            <v>Property, plant &amp; equipment, Movable assets, FURNITURE AND FITTINGS, Other Assets, Cabinet</v>
          </cell>
          <cell r="K231" t="str">
            <v>Cabinet</v>
          </cell>
          <cell r="N231">
            <v>1</v>
          </cell>
          <cell r="O231" t="str">
            <v>Main offices</v>
          </cell>
          <cell r="P231" t="str">
            <v>R31</v>
          </cell>
        </row>
        <row r="232">
          <cell r="I232" t="str">
            <v>NHC 000585</v>
          </cell>
          <cell r="J232" t="str">
            <v>Property, plant &amp; equipment, Movable assets, FURNITURE AND FITTINGS, Other Assets, Cabinet</v>
          </cell>
          <cell r="K232" t="str">
            <v>Cabinet</v>
          </cell>
          <cell r="N232">
            <v>1</v>
          </cell>
          <cell r="O232" t="str">
            <v>Main offices</v>
          </cell>
          <cell r="P232" t="str">
            <v>R31</v>
          </cell>
        </row>
        <row r="233">
          <cell r="I233" t="str">
            <v>NHC 000584</v>
          </cell>
          <cell r="J233" t="str">
            <v>Property, plant &amp; equipment, Movable assets, FURNITURE AND FITTINGS, Other Assets, Cabinet</v>
          </cell>
          <cell r="K233" t="str">
            <v>Cabinet</v>
          </cell>
          <cell r="N233">
            <v>1</v>
          </cell>
          <cell r="O233" t="str">
            <v>Main offices</v>
          </cell>
          <cell r="P233" t="str">
            <v>R31</v>
          </cell>
        </row>
        <row r="234">
          <cell r="I234" t="str">
            <v>NHC 000589</v>
          </cell>
          <cell r="J234" t="str">
            <v>Property, plant &amp; equipment, Movable assets, FURNITURE AND FITTINGS, Other Assets, Cabinet</v>
          </cell>
          <cell r="K234" t="str">
            <v>Cabinet</v>
          </cell>
          <cell r="N234">
            <v>1</v>
          </cell>
          <cell r="O234" t="str">
            <v>Main offices</v>
          </cell>
          <cell r="P234" t="str">
            <v>R31</v>
          </cell>
        </row>
        <row r="235">
          <cell r="I235" t="str">
            <v>NHC 000581</v>
          </cell>
          <cell r="J235" t="str">
            <v>Property, plant &amp; equipment, Movable assets, FURNITURE AND FITTINGS, Other Assets, Cabinet</v>
          </cell>
          <cell r="K235" t="str">
            <v>Cabinet</v>
          </cell>
          <cell r="N235">
            <v>1</v>
          </cell>
          <cell r="O235" t="str">
            <v>Main offices</v>
          </cell>
          <cell r="P235" t="str">
            <v>R31</v>
          </cell>
        </row>
        <row r="236">
          <cell r="I236" t="str">
            <v>NHC 000586</v>
          </cell>
          <cell r="J236" t="str">
            <v>Property, plant &amp; equipment, Movable assets, FURNITURE AND FITTINGS, Other Assets, Cabinet</v>
          </cell>
          <cell r="K236" t="str">
            <v>Cabinet</v>
          </cell>
          <cell r="N236">
            <v>1</v>
          </cell>
          <cell r="O236" t="str">
            <v>Main offices</v>
          </cell>
          <cell r="P236" t="str">
            <v>R31</v>
          </cell>
        </row>
        <row r="237">
          <cell r="I237" t="str">
            <v>NHC 000182</v>
          </cell>
          <cell r="J237" t="str">
            <v>Property, plant &amp; equipment, Movable assets, FURNITURE AND FITTINGS, Other Assets, Cupboard</v>
          </cell>
          <cell r="K237" t="str">
            <v>Cupboard</v>
          </cell>
          <cell r="N237">
            <v>1</v>
          </cell>
          <cell r="O237" t="str">
            <v>Main offices</v>
          </cell>
          <cell r="P237" t="str">
            <v>R29</v>
          </cell>
        </row>
        <row r="238">
          <cell r="I238">
            <v>1544</v>
          </cell>
          <cell r="J238" t="str">
            <v>Property, plant &amp; equipment, Movable assets, OFFICE EQUIPMENT AND TOOLS, Other Assets, Samsung Exhibition  Monitor/Digital screen</v>
          </cell>
          <cell r="K238" t="str">
            <v>Samsung Exhibition  Monitor/Digital screen</v>
          </cell>
          <cell r="L238" t="str">
            <v>014A3FANA05050D</v>
          </cell>
          <cell r="N238">
            <v>1</v>
          </cell>
          <cell r="O238" t="str">
            <v>Main offices</v>
          </cell>
          <cell r="P238" t="str">
            <v>R29</v>
          </cell>
        </row>
        <row r="239">
          <cell r="I239" t="str">
            <v>NHC000813</v>
          </cell>
          <cell r="J239" t="str">
            <v>Property, plant &amp; equipment, Movable assets, FURNITURE AND FITTINGS, Other Assets, Wood Cabinet</v>
          </cell>
          <cell r="K239" t="str">
            <v>Wood Cabinet</v>
          </cell>
          <cell r="N239">
            <v>1</v>
          </cell>
          <cell r="O239" t="str">
            <v>Main offices</v>
          </cell>
          <cell r="P239" t="str">
            <v>R29</v>
          </cell>
        </row>
        <row r="240">
          <cell r="I240" t="str">
            <v>NHC 000257</v>
          </cell>
          <cell r="J240" t="str">
            <v>Property, plant &amp; equipment, Movable assets, FURNITURE AND FITTINGS, Other Assets, 1500 B/Case W/Glass Mahogany Veneer</v>
          </cell>
          <cell r="K240" t="str">
            <v>1500 B/Case W/Glass Mahogany Veneer</v>
          </cell>
          <cell r="N240">
            <v>1</v>
          </cell>
          <cell r="O240" t="str">
            <v>Main offices</v>
          </cell>
          <cell r="P240" t="str">
            <v>R29</v>
          </cell>
        </row>
        <row r="241">
          <cell r="I241" t="str">
            <v>NHC 000220</v>
          </cell>
          <cell r="J241" t="str">
            <v>Property, plant &amp; equipment, Movable assets, FURNITURE AND FITTINGS, Other Assets, Visitors Chair  Leather</v>
          </cell>
          <cell r="K241" t="str">
            <v>Visitors Chair  Leather</v>
          </cell>
          <cell r="N241">
            <v>1</v>
          </cell>
          <cell r="O241" t="str">
            <v>Main offices</v>
          </cell>
          <cell r="P241" t="str">
            <v>R29</v>
          </cell>
        </row>
        <row r="242">
          <cell r="I242" t="str">
            <v>NHC000407</v>
          </cell>
          <cell r="J242" t="str">
            <v>Property, plant &amp; equipment, Movable assets, FURNITURE AND FITTINGS, Other Assets, TV Cabinet</v>
          </cell>
          <cell r="K242" t="str">
            <v>TV Cabinet</v>
          </cell>
          <cell r="N242">
            <v>1</v>
          </cell>
          <cell r="O242" t="str">
            <v>Main offices</v>
          </cell>
          <cell r="P242" t="str">
            <v>R29</v>
          </cell>
        </row>
        <row r="243">
          <cell r="I243" t="str">
            <v>NHC000352</v>
          </cell>
          <cell r="J243" t="str">
            <v>Property, plant &amp; equipment, Movable assets, FURNITURE AND FITTINGS, Other Assets, NHC Pot with Reeds</v>
          </cell>
          <cell r="K243" t="str">
            <v>NHC Pot with Reeds</v>
          </cell>
          <cell r="N243">
            <v>1</v>
          </cell>
          <cell r="O243" t="str">
            <v>Main offices</v>
          </cell>
          <cell r="P243" t="str">
            <v>R29</v>
          </cell>
        </row>
        <row r="244">
          <cell r="I244" t="str">
            <v>NHC 000242</v>
          </cell>
          <cell r="J244" t="str">
            <v>Property, plant &amp; equipment, Movable assets, FURNITURE AND FITTINGS, Other Assets, Visitors Chair Leather</v>
          </cell>
          <cell r="K244" t="str">
            <v>Visitors Chair Leather</v>
          </cell>
          <cell r="N244">
            <v>1</v>
          </cell>
          <cell r="O244" t="str">
            <v>Main offices</v>
          </cell>
          <cell r="P244" t="str">
            <v>R29</v>
          </cell>
        </row>
        <row r="245">
          <cell r="I245" t="str">
            <v>NHC000141</v>
          </cell>
          <cell r="J245" t="str">
            <v>Property, plant &amp; equipment, Movable assets, FURNITURE AND FITTINGS, Other Assets, 1800*600mmL Extension</v>
          </cell>
          <cell r="K245" t="str">
            <v>1800*600mmL Extension</v>
          </cell>
          <cell r="N245">
            <v>1</v>
          </cell>
          <cell r="O245" t="str">
            <v>Main offices</v>
          </cell>
          <cell r="P245" t="str">
            <v>R29</v>
          </cell>
        </row>
        <row r="246">
          <cell r="I246" t="str">
            <v>NHC000677</v>
          </cell>
          <cell r="J246" t="str">
            <v>Property, plant &amp; equipment, Movable assets, FURNITURE AND FITTINGS, Other Assets, CHAIR HIGHBACK LEATHER</v>
          </cell>
          <cell r="K246" t="str">
            <v>CHAIR HIGHBACK LEATHER</v>
          </cell>
          <cell r="N246">
            <v>1</v>
          </cell>
          <cell r="O246" t="str">
            <v>Main offices</v>
          </cell>
          <cell r="P246" t="str">
            <v>R29</v>
          </cell>
        </row>
        <row r="247">
          <cell r="I247" t="str">
            <v>NHC000787</v>
          </cell>
          <cell r="J247" t="str">
            <v>Property, plant &amp; equipment, Movable assets, OFFICE EQUIPMENT AND TOOLS, Other Assets, Cocktail Bar Fridge</v>
          </cell>
          <cell r="K247" t="str">
            <v>Cocktail Bar Fridge</v>
          </cell>
          <cell r="N247">
            <v>1</v>
          </cell>
          <cell r="O247" t="str">
            <v>Main offices</v>
          </cell>
          <cell r="P247" t="str">
            <v>R29</v>
          </cell>
        </row>
        <row r="248">
          <cell r="I248">
            <v>1522</v>
          </cell>
          <cell r="J248" t="str">
            <v>Property, plant &amp; equipment, Movable assets, COMPUTER EQUIPMENT, Other Assets, LENOVO LAPTOP/Mphafe</v>
          </cell>
          <cell r="K248" t="str">
            <v>LENOVO LAPTOP/Mphafe</v>
          </cell>
          <cell r="N248">
            <v>1</v>
          </cell>
          <cell r="O248" t="str">
            <v>Main offices</v>
          </cell>
          <cell r="P248" t="str">
            <v>R25</v>
          </cell>
        </row>
        <row r="249">
          <cell r="I249" t="str">
            <v>NHC 000231</v>
          </cell>
          <cell r="J249" t="str">
            <v>Property, plant &amp; equipment, Movable assets, FURNITURE AND FITTINGS, Other Assets, 1500 Systems Cabinet Mahogany Veneer</v>
          </cell>
          <cell r="K249" t="str">
            <v>1500 Systems Cabinet Mahogany Veneer</v>
          </cell>
          <cell r="N249">
            <v>1</v>
          </cell>
          <cell r="O249" t="str">
            <v>Main offices</v>
          </cell>
          <cell r="P249" t="str">
            <v>R26 storeroom HR</v>
          </cell>
        </row>
        <row r="250">
          <cell r="I250" t="str">
            <v>NHC 000258</v>
          </cell>
          <cell r="J250" t="str">
            <v>Property, plant &amp; equipment, Movable assets, FURNITURE AND FITTINGS, Other Assets, 1500 Systems Cabinet Mahogany Veneer</v>
          </cell>
          <cell r="K250" t="str">
            <v>1500 Systems Cabinet Mahogany Veneer</v>
          </cell>
          <cell r="N250">
            <v>1</v>
          </cell>
          <cell r="O250" t="str">
            <v>Main offices</v>
          </cell>
          <cell r="P250" t="str">
            <v>R24</v>
          </cell>
        </row>
        <row r="251">
          <cell r="I251" t="str">
            <v>NHC000297</v>
          </cell>
          <cell r="J251" t="str">
            <v>Property, plant &amp; equipment, Movable assets, FURNITURE AND FITTINGS, Other Assets, Desk</v>
          </cell>
          <cell r="K251" t="str">
            <v>Desk</v>
          </cell>
          <cell r="N251">
            <v>1</v>
          </cell>
          <cell r="O251" t="str">
            <v>Main offices</v>
          </cell>
          <cell r="P251" t="str">
            <v>R25</v>
          </cell>
        </row>
        <row r="252">
          <cell r="I252">
            <v>1216</v>
          </cell>
          <cell r="J252" t="str">
            <v>Property, plant &amp; equipment, Movable assets, FURNITURE AND FITTINGS, Other Assets, Chair/ Light Green</v>
          </cell>
          <cell r="K252" t="str">
            <v>Chair/ Light Green</v>
          </cell>
          <cell r="N252">
            <v>1</v>
          </cell>
          <cell r="O252" t="str">
            <v>Main offices</v>
          </cell>
          <cell r="P252" t="str">
            <v>R25</v>
          </cell>
        </row>
        <row r="253">
          <cell r="I253" t="str">
            <v>NHC000525</v>
          </cell>
          <cell r="J253" t="str">
            <v>Property, plant &amp; equipment, Movable assets, FURNITURE AND FITTINGS, Other Assets, Hinged Door Cabinet</v>
          </cell>
          <cell r="K253" t="str">
            <v>Hinged Door Cabinet</v>
          </cell>
          <cell r="N253">
            <v>1</v>
          </cell>
          <cell r="O253" t="str">
            <v>Main offices</v>
          </cell>
          <cell r="P253" t="str">
            <v>R25</v>
          </cell>
        </row>
        <row r="254">
          <cell r="I254" t="str">
            <v>NHC 000345</v>
          </cell>
          <cell r="J254" t="str">
            <v>Property, plant &amp; equipment, Movable assets, FURNITURE AND FITTINGS, Other Assets, Chair*****</v>
          </cell>
          <cell r="K254" t="str">
            <v>Chair*****</v>
          </cell>
          <cell r="N254">
            <v>1</v>
          </cell>
          <cell r="O254" t="str">
            <v>Main offices</v>
          </cell>
          <cell r="P254" t="str">
            <v xml:space="preserve">Open Plan communications </v>
          </cell>
        </row>
        <row r="255">
          <cell r="I255" t="str">
            <v>NHC 000256</v>
          </cell>
          <cell r="J255" t="str">
            <v>Property, plant &amp; equipment, Movable assets, FURNITURE AND FITTINGS, Other Assets, 1500 Systems Cabinet Mahogany Veneer</v>
          </cell>
          <cell r="K255" t="str">
            <v>1500 Systems Cabinet Mahogany Veneer</v>
          </cell>
          <cell r="N255">
            <v>1</v>
          </cell>
          <cell r="O255" t="str">
            <v>Main offices</v>
          </cell>
          <cell r="P255" t="str">
            <v xml:space="preserve">R1 Main Reception </v>
          </cell>
        </row>
        <row r="256">
          <cell r="I256">
            <v>1442</v>
          </cell>
          <cell r="J256" t="str">
            <v>Property, plant &amp; equipment, Movable assets, COMPUTER EQUIPMENT, Other Assets, Dell Laptop/Matanato New</v>
          </cell>
          <cell r="K256" t="str">
            <v>Dell Laptop/Matanato New</v>
          </cell>
          <cell r="N256">
            <v>1</v>
          </cell>
          <cell r="O256" t="str">
            <v>Main offices</v>
          </cell>
          <cell r="P256" t="str">
            <v>Open Plan Communications</v>
          </cell>
        </row>
        <row r="257">
          <cell r="I257" t="str">
            <v>NHC000397</v>
          </cell>
          <cell r="J257" t="str">
            <v>Property, plant &amp; equipment, Movable assets, FURNITURE AND FITTINGS, Other Assets, Desk</v>
          </cell>
          <cell r="K257" t="str">
            <v>Desk</v>
          </cell>
          <cell r="N257">
            <v>1</v>
          </cell>
          <cell r="O257" t="str">
            <v>Main offices</v>
          </cell>
          <cell r="P257" t="str">
            <v xml:space="preserve">Open Plan communications </v>
          </cell>
        </row>
        <row r="258">
          <cell r="I258" t="str">
            <v>NHC000921</v>
          </cell>
          <cell r="J258" t="str">
            <v>Property, plant &amp; equipment, Movable assets, FURNITURE AND FITTINGS, Other Assets, CUPBOARD</v>
          </cell>
          <cell r="K258" t="str">
            <v>CUPBOARD</v>
          </cell>
          <cell r="N258">
            <v>1</v>
          </cell>
          <cell r="O258" t="str">
            <v>Main offices</v>
          </cell>
          <cell r="P258" t="str">
            <v>Open Plan Communications</v>
          </cell>
        </row>
        <row r="259">
          <cell r="I259" t="str">
            <v>NHC000839</v>
          </cell>
          <cell r="J259" t="str">
            <v>Property, plant &amp; equipment, Movable assets, FURNITURE AND FITTINGS, Other Assets, Steel Cabinet</v>
          </cell>
          <cell r="K259" t="str">
            <v>Steel Cabinet</v>
          </cell>
          <cell r="N259">
            <v>1</v>
          </cell>
          <cell r="O259" t="str">
            <v>Main offices</v>
          </cell>
          <cell r="P259" t="str">
            <v>R21 HR store room</v>
          </cell>
        </row>
        <row r="260">
          <cell r="I260" t="str">
            <v>NHC000489</v>
          </cell>
          <cell r="J260" t="str">
            <v>Property, plant &amp; equipment, Movable assets, FURNITURE AND FITTINGS, Other Assets, Filing System</v>
          </cell>
          <cell r="K260" t="str">
            <v>Filing System</v>
          </cell>
          <cell r="N260">
            <v>1</v>
          </cell>
          <cell r="O260" t="str">
            <v>Main offices</v>
          </cell>
          <cell r="P260" t="str">
            <v xml:space="preserve">R21 hr Storeroom </v>
          </cell>
        </row>
        <row r="261">
          <cell r="I261" t="str">
            <v>NHC000662</v>
          </cell>
          <cell r="J261" t="str">
            <v>Property, plant &amp; equipment, Movable assets, FURNITURE AND FITTINGS, Other Assets, CHAIR HIGHBACK LEATHER</v>
          </cell>
          <cell r="K261" t="str">
            <v>CHAIR HIGHBACK LEATHER</v>
          </cell>
          <cell r="N261">
            <v>1</v>
          </cell>
          <cell r="O261" t="str">
            <v>Main offices</v>
          </cell>
          <cell r="P261" t="str">
            <v>R22</v>
          </cell>
        </row>
        <row r="262">
          <cell r="I262">
            <v>1962</v>
          </cell>
          <cell r="J262" t="str">
            <v>Property, plant &amp; equipment, Movable assets, COMPUTER EQUIPMENT, Other Assets, Lenovo Laptop - Unassigned</v>
          </cell>
          <cell r="K262" t="str">
            <v>Lenovo Laptop - Unassigned</v>
          </cell>
          <cell r="L262" t="str">
            <v>pW08V2Z6PWN0B3B26002</v>
          </cell>
          <cell r="N262">
            <v>1</v>
          </cell>
          <cell r="O262" t="str">
            <v>Main offices</v>
          </cell>
          <cell r="P262" t="str">
            <v>R22</v>
          </cell>
        </row>
        <row r="263">
          <cell r="I263" t="str">
            <v>NHC000912</v>
          </cell>
          <cell r="J263" t="str">
            <v>Property, plant &amp; equipment, Movable assets, FURNITURE AND FITTINGS, Other Assets, CUPBOARD OSK</v>
          </cell>
          <cell r="K263" t="str">
            <v>CUPBOARD OSK</v>
          </cell>
          <cell r="N263">
            <v>1</v>
          </cell>
          <cell r="O263" t="str">
            <v>Main offices</v>
          </cell>
          <cell r="P263" t="str">
            <v>R22</v>
          </cell>
        </row>
        <row r="264">
          <cell r="I264" t="str">
            <v>NHC000913</v>
          </cell>
          <cell r="J264" t="str">
            <v>Property, plant &amp; equipment, Movable assets, FURNITURE AND FITTINGS, Other Assets, CUPBOARD OAK</v>
          </cell>
          <cell r="K264" t="str">
            <v>CUPBOARD OAK</v>
          </cell>
          <cell r="N264">
            <v>1</v>
          </cell>
          <cell r="O264" t="str">
            <v>Main offices</v>
          </cell>
          <cell r="P264" t="str">
            <v>R22</v>
          </cell>
        </row>
        <row r="265">
          <cell r="I265" t="str">
            <v>NHC000641</v>
          </cell>
          <cell r="J265" t="str">
            <v>Property, plant &amp; equipment, Movable assets, FURNITURE AND FITTINGS, Other Assets, TABLE ROUND CONFERENCE</v>
          </cell>
          <cell r="K265" t="str">
            <v>TABLE ROUND CONFERENCE</v>
          </cell>
          <cell r="N265">
            <v>1</v>
          </cell>
          <cell r="O265" t="str">
            <v>Main offices</v>
          </cell>
          <cell r="P265" t="str">
            <v>R22</v>
          </cell>
        </row>
        <row r="266">
          <cell r="I266">
            <v>1232</v>
          </cell>
          <cell r="J266" t="str">
            <v>Property, plant &amp; equipment, Movable assets, FURNITURE AND FITTINGS, Other Assets, Mobile Pedestal</v>
          </cell>
          <cell r="K266" t="str">
            <v>Mobile Pedestal</v>
          </cell>
          <cell r="N266">
            <v>1</v>
          </cell>
          <cell r="O266" t="str">
            <v>Main offices</v>
          </cell>
          <cell r="P266" t="str">
            <v>R22</v>
          </cell>
        </row>
        <row r="267">
          <cell r="I267" t="str">
            <v>NHC98</v>
          </cell>
          <cell r="J267" t="str">
            <v>Property, plant &amp; equipment, Movable assets, FURNITURE AND FITTINGS, Other Assets, Chair visitors</v>
          </cell>
          <cell r="K267" t="str">
            <v>Chair visitors</v>
          </cell>
          <cell r="N267">
            <v>1</v>
          </cell>
          <cell r="O267" t="str">
            <v>Main offices</v>
          </cell>
          <cell r="P267" t="str">
            <v>R22</v>
          </cell>
        </row>
        <row r="268">
          <cell r="I268">
            <v>1027</v>
          </cell>
          <cell r="J268" t="str">
            <v>Property, plant &amp; equipment, Movable assets, FURNITURE AND FITTINGS, Other Assets, Mid Back - Visitor Chair</v>
          </cell>
          <cell r="K268" t="str">
            <v>Mid Back - Visitor Chair</v>
          </cell>
          <cell r="N268">
            <v>1</v>
          </cell>
          <cell r="O268" t="str">
            <v>Main offices</v>
          </cell>
          <cell r="P268" t="str">
            <v>R22</v>
          </cell>
        </row>
        <row r="269">
          <cell r="I269" t="str">
            <v>NHC 000236</v>
          </cell>
          <cell r="J269" t="str">
            <v>Property, plant &amp; equipment, Movable assets, FURNITURE AND FITTINGS, Other Assets, Visitors chair Leather</v>
          </cell>
          <cell r="K269" t="str">
            <v>Visitors chair Leather</v>
          </cell>
          <cell r="N269">
            <v>1</v>
          </cell>
          <cell r="O269" t="str">
            <v>Main offices</v>
          </cell>
          <cell r="P269" t="str">
            <v>R22</v>
          </cell>
        </row>
        <row r="270">
          <cell r="I270" t="str">
            <v>NHC 000415</v>
          </cell>
          <cell r="J270" t="str">
            <v>Property, plant &amp; equipment, Movable assets, FURNITURE AND FITTINGS, Other Assets, Round Table</v>
          </cell>
          <cell r="K270" t="str">
            <v>Round Table</v>
          </cell>
          <cell r="N270">
            <v>1</v>
          </cell>
          <cell r="O270" t="str">
            <v>Main offices</v>
          </cell>
          <cell r="P270" t="str">
            <v>R23</v>
          </cell>
        </row>
        <row r="271">
          <cell r="I271" t="str">
            <v>NHC 000239</v>
          </cell>
          <cell r="J271" t="str">
            <v>Property, plant &amp; equipment, Movable assets, FURNITURE AND FITTINGS, Other Assets, Visitors chair Leather</v>
          </cell>
          <cell r="K271" t="str">
            <v>Visitors chair Leather</v>
          </cell>
          <cell r="N271">
            <v>1</v>
          </cell>
          <cell r="O271" t="str">
            <v>Main offices</v>
          </cell>
          <cell r="P271" t="str">
            <v>R23</v>
          </cell>
        </row>
        <row r="272">
          <cell r="I272">
            <v>1502</v>
          </cell>
          <cell r="J272" t="str">
            <v>Property, plant &amp; equipment, Movable assets, COMPUTER EQUIPMENT, Other Assets, Dell Laptop</v>
          </cell>
          <cell r="K272" t="str">
            <v>DELL LAPTOP PRECISION 3561</v>
          </cell>
          <cell r="N272">
            <v>1</v>
          </cell>
          <cell r="O272" t="str">
            <v>Main offices</v>
          </cell>
          <cell r="P272" t="str">
            <v>R23</v>
          </cell>
        </row>
        <row r="273">
          <cell r="I273" t="str">
            <v>NHC 000344</v>
          </cell>
          <cell r="J273" t="str">
            <v>Property, plant &amp; equipment, Movable assets, FURNITURE AND FITTINGS, Other Assets, Chair</v>
          </cell>
          <cell r="K273" t="str">
            <v>Chair</v>
          </cell>
          <cell r="N273">
            <v>1</v>
          </cell>
          <cell r="O273" t="str">
            <v>Main offices</v>
          </cell>
          <cell r="P273" t="str">
            <v>Open Plan HR</v>
          </cell>
        </row>
        <row r="274">
          <cell r="I274" t="str">
            <v>NHC000686</v>
          </cell>
          <cell r="J274" t="str">
            <v>Property, plant &amp; equipment, Movable assets, FURNITURE AND FITTINGS, Other Assets, CHAIR HIGHBACK LEATHER</v>
          </cell>
          <cell r="K274" t="str">
            <v>CHAIR HIGHBACK LEATHER</v>
          </cell>
          <cell r="N274">
            <v>1</v>
          </cell>
          <cell r="O274" t="str">
            <v>Main offices</v>
          </cell>
          <cell r="P274" t="str">
            <v>Open Plan HR</v>
          </cell>
        </row>
        <row r="275">
          <cell r="I275">
            <v>1131</v>
          </cell>
          <cell r="J275" t="str">
            <v>Property, plant &amp; equipment, Movable assets, FURNITURE AND FITTINGS, Other Assets, Rectangular Workshop/ Desk</v>
          </cell>
          <cell r="K275" t="str">
            <v>Rectangular Workshop/ Desk</v>
          </cell>
          <cell r="N275">
            <v>1</v>
          </cell>
          <cell r="O275" t="str">
            <v>Main offices</v>
          </cell>
          <cell r="P275" t="str">
            <v>Open Plan HR</v>
          </cell>
        </row>
        <row r="276">
          <cell r="I276" t="str">
            <v>NHC000834</v>
          </cell>
          <cell r="J276" t="str">
            <v>Property, plant &amp; equipment, Movable assets, FURNITURE AND FITTINGS, Other Assets, Work Station (Desk)</v>
          </cell>
          <cell r="K276" t="str">
            <v>Work Station (Desk)</v>
          </cell>
          <cell r="N276">
            <v>1</v>
          </cell>
          <cell r="O276" t="str">
            <v>Main offices</v>
          </cell>
          <cell r="P276" t="str">
            <v>Open plan HR</v>
          </cell>
        </row>
        <row r="277">
          <cell r="I277" t="str">
            <v>NHC000376</v>
          </cell>
          <cell r="J277" t="str">
            <v>Property, plant &amp; equipment, Movable assets, FURNITURE AND FITTINGS, Other Assets, Armchair</v>
          </cell>
          <cell r="K277" t="str">
            <v>Armchair</v>
          </cell>
          <cell r="N277">
            <v>1</v>
          </cell>
          <cell r="O277" t="str">
            <v>Main offices</v>
          </cell>
          <cell r="P277" t="str">
            <v>Open Plan HR</v>
          </cell>
        </row>
        <row r="278">
          <cell r="I278">
            <v>1524</v>
          </cell>
          <cell r="J278" t="str">
            <v>Property, plant &amp; equipment, Movable assets, COMPUTER EQUIPMENT, Other Assets, LENOVO LAPTOP/Andrew</v>
          </cell>
          <cell r="K278" t="str">
            <v>LENOVO LAPTOP/Andrew</v>
          </cell>
          <cell r="L278" t="str">
            <v>r912SBQGR9N0B151400H</v>
          </cell>
          <cell r="N278">
            <v>1</v>
          </cell>
          <cell r="O278" t="str">
            <v>Main offices</v>
          </cell>
          <cell r="P278" t="str">
            <v>Open Plan HR</v>
          </cell>
        </row>
        <row r="279">
          <cell r="I279" t="str">
            <v>NHC000840</v>
          </cell>
          <cell r="J279" t="str">
            <v>Property, plant &amp; equipment, Movable assets, FURNITURE AND FITTINGS, Other Assets, Steel Cabinet</v>
          </cell>
          <cell r="K279" t="str">
            <v>Steel Cabinet</v>
          </cell>
          <cell r="N279">
            <v>1</v>
          </cell>
          <cell r="O279" t="str">
            <v>Main offices</v>
          </cell>
          <cell r="P279" t="str">
            <v>Open Plan HR</v>
          </cell>
        </row>
        <row r="280">
          <cell r="I280" t="str">
            <v>NHC001007</v>
          </cell>
          <cell r="J280" t="str">
            <v>Property, plant &amp; equipment, Movable assets, FURNITURE AND FITTINGS, Other Assets, Eez-Off Swivel Tub Chair</v>
          </cell>
          <cell r="K280" t="str">
            <v>Eez-Off Swivel Tub Chair</v>
          </cell>
          <cell r="N280">
            <v>1</v>
          </cell>
          <cell r="O280" t="str">
            <v>Main offices</v>
          </cell>
          <cell r="P280" t="str">
            <v>Open Plan HR</v>
          </cell>
        </row>
        <row r="281">
          <cell r="I281" t="str">
            <v>NHC000836</v>
          </cell>
          <cell r="J281" t="str">
            <v>Property, plant &amp; equipment, Movable assets, FURNITURE AND FITTINGS, Other Assets, Steel Cabinet</v>
          </cell>
          <cell r="K281" t="str">
            <v>Steel Cabinet</v>
          </cell>
          <cell r="N281">
            <v>1</v>
          </cell>
          <cell r="O281" t="str">
            <v>Main offices</v>
          </cell>
          <cell r="P281" t="str">
            <v>Open Plan HR</v>
          </cell>
        </row>
        <row r="282">
          <cell r="I282" t="str">
            <v>NHC000869</v>
          </cell>
          <cell r="J282" t="str">
            <v>Property, plant &amp; equipment, Movable assets, FURNITURE AND FITTINGS, Other Assets, Visitor Chairs</v>
          </cell>
          <cell r="K282" t="str">
            <v>Visitor Chairs</v>
          </cell>
          <cell r="N282">
            <v>1</v>
          </cell>
          <cell r="O282" t="str">
            <v>Main offices</v>
          </cell>
          <cell r="P282" t="str">
            <v>Open Plan HR</v>
          </cell>
        </row>
        <row r="283">
          <cell r="I283">
            <v>1190</v>
          </cell>
          <cell r="J283" t="str">
            <v>Property, plant &amp; equipment, Movable assets, FURNITURE AND FITTINGS, Other Assets, Chair</v>
          </cell>
          <cell r="K283" t="str">
            <v>Chair</v>
          </cell>
          <cell r="N283">
            <v>1</v>
          </cell>
          <cell r="O283" t="str">
            <v>Main offices</v>
          </cell>
          <cell r="P283" t="str">
            <v>Open Plan HR</v>
          </cell>
        </row>
        <row r="284">
          <cell r="I284" t="str">
            <v>NHC 000218</v>
          </cell>
          <cell r="J284" t="str">
            <v>Property, plant &amp; equipment, Movable assets, FURNITURE AND FITTINGS, Other Assets, 1500Systems Cabinet Mahogany Veneer</v>
          </cell>
          <cell r="K284" t="str">
            <v>1500Systems Cabinet Mahogany Veneer</v>
          </cell>
          <cell r="N284">
            <v>1</v>
          </cell>
          <cell r="O284" t="str">
            <v>Main offices</v>
          </cell>
          <cell r="P284" t="str">
            <v>Open plan Risk</v>
          </cell>
        </row>
        <row r="285">
          <cell r="I285">
            <v>1219</v>
          </cell>
          <cell r="J285" t="str">
            <v>Property, plant &amp; equipment, Movable assets, FURNITURE AND FITTINGS, Other Assets, Mobile Pedestal</v>
          </cell>
          <cell r="K285" t="str">
            <v>Mobile Pedestal</v>
          </cell>
          <cell r="N285">
            <v>1</v>
          </cell>
          <cell r="O285" t="str">
            <v>Main offices</v>
          </cell>
          <cell r="P285" t="str">
            <v>Open plan Risk</v>
          </cell>
        </row>
        <row r="286">
          <cell r="I286">
            <v>1441</v>
          </cell>
          <cell r="J286" t="str">
            <v>Property, plant &amp; equipment, Movable assets, COMPUTER EQUIPMENT, Other Assets, Dell Laptop/Ntshanga New</v>
          </cell>
          <cell r="K286" t="str">
            <v>Dell Laptop</v>
          </cell>
          <cell r="N286">
            <v>1</v>
          </cell>
          <cell r="O286" t="str">
            <v>Main offices</v>
          </cell>
          <cell r="P286" t="str">
            <v>Open Plan HR</v>
          </cell>
        </row>
        <row r="287">
          <cell r="I287" t="str">
            <v>NHC000389</v>
          </cell>
          <cell r="J287" t="str">
            <v>Property, plant &amp; equipment, Movable assets, FURNITURE AND FITTINGS, Other Assets, Desk</v>
          </cell>
          <cell r="K287" t="str">
            <v>Desk</v>
          </cell>
          <cell r="N287">
            <v>1</v>
          </cell>
          <cell r="O287" t="str">
            <v>Main offices</v>
          </cell>
          <cell r="P287" t="str">
            <v>Open plan Risk</v>
          </cell>
        </row>
        <row r="288">
          <cell r="I288" t="str">
            <v>NHC0096</v>
          </cell>
          <cell r="J288" t="str">
            <v>Property, plant &amp; equipment, Movable assets, FURNITURE AND FITTINGS, Other Assets, Rhodes Swivel Chair-Antique Leather</v>
          </cell>
          <cell r="K288" t="str">
            <v>Rhodes Swivel Chair-Antique Leather</v>
          </cell>
          <cell r="N288">
            <v>1</v>
          </cell>
          <cell r="O288" t="str">
            <v>Main offices</v>
          </cell>
          <cell r="P288" t="str">
            <v>Open plan Risk</v>
          </cell>
        </row>
        <row r="289">
          <cell r="I289">
            <v>1135</v>
          </cell>
          <cell r="J289" t="str">
            <v>Property, plant &amp; equipment, Movable assets, FURNITURE AND FITTINGS, Other Assets, Rectangular Workshop/ Desk</v>
          </cell>
          <cell r="K289" t="str">
            <v>Rectangular Workshop/ Desk</v>
          </cell>
          <cell r="N289">
            <v>1</v>
          </cell>
          <cell r="O289" t="str">
            <v>Main offices</v>
          </cell>
          <cell r="P289" t="str">
            <v>Open plan finance</v>
          </cell>
        </row>
        <row r="290">
          <cell r="I290">
            <v>1620</v>
          </cell>
          <cell r="J290" t="str">
            <v>Property, plant &amp; equipment, Movable assets, FURNITURE AND FITTINGS, Other Assets, Training Table</v>
          </cell>
          <cell r="K290" t="str">
            <v>Training Table</v>
          </cell>
          <cell r="N290">
            <v>1</v>
          </cell>
          <cell r="O290" t="str">
            <v>Main offices</v>
          </cell>
          <cell r="P290" t="str">
            <v>Open plan Risk</v>
          </cell>
        </row>
        <row r="291">
          <cell r="I291" t="str">
            <v>NHC 000253</v>
          </cell>
          <cell r="J291" t="str">
            <v>Property, plant &amp; equipment, Movable assets, FURNITURE AND FITTINGS, Other Assets, 1500 B/Case W/Glass Mahogany Veneer</v>
          </cell>
          <cell r="K291" t="str">
            <v>1500 B/Case W/Glass Mahogany Veneer</v>
          </cell>
          <cell r="N291">
            <v>1</v>
          </cell>
          <cell r="O291" t="str">
            <v>Main offices</v>
          </cell>
          <cell r="P291" t="str">
            <v>Open Plan Risk</v>
          </cell>
        </row>
        <row r="292">
          <cell r="I292" t="str">
            <v>NHC000393</v>
          </cell>
          <cell r="J292" t="str">
            <v>Property, plant &amp; equipment, Movable assets, FURNITURE AND FITTINGS, Other Assets, Desk</v>
          </cell>
          <cell r="K292" t="str">
            <v>Desk</v>
          </cell>
          <cell r="N292">
            <v>1</v>
          </cell>
          <cell r="O292" t="str">
            <v>Main offices</v>
          </cell>
          <cell r="P292" t="str">
            <v>Open Plan Risk</v>
          </cell>
        </row>
        <row r="293">
          <cell r="I293" t="str">
            <v>NHC000658</v>
          </cell>
          <cell r="J293" t="str">
            <v>Property, plant &amp; equipment, Movable assets, FURNITURE AND FITTINGS, Other Assets, CHAIR HIGHBACK LEATHER</v>
          </cell>
          <cell r="K293" t="str">
            <v>CHAIR HIGHBACK LEATHER</v>
          </cell>
          <cell r="N293">
            <v>1</v>
          </cell>
          <cell r="O293" t="str">
            <v>Main offices</v>
          </cell>
          <cell r="P293" t="str">
            <v>Open Plan Risk</v>
          </cell>
        </row>
        <row r="294">
          <cell r="I294">
            <v>1613</v>
          </cell>
          <cell r="J294" t="str">
            <v>Property, plant &amp; equipment, Movable assets, FURNITURE AND FITTINGS, Other Assets, Black chair Ativo</v>
          </cell>
          <cell r="K294" t="str">
            <v>Black chair Ativo</v>
          </cell>
          <cell r="N294">
            <v>1</v>
          </cell>
          <cell r="O294" t="str">
            <v>Main offices</v>
          </cell>
          <cell r="P294" t="str">
            <v>Open plan Risk</v>
          </cell>
        </row>
        <row r="295">
          <cell r="I295" t="str">
            <v>NHC000689</v>
          </cell>
          <cell r="J295" t="str">
            <v>Property, plant &amp; equipment, Movable assets, FURNITURE AND FITTINGS, Other Assets, CHAIR VISITOR</v>
          </cell>
          <cell r="K295" t="str">
            <v>CHAIR VISITOR</v>
          </cell>
          <cell r="N295">
            <v>1</v>
          </cell>
          <cell r="O295" t="str">
            <v>Main offices</v>
          </cell>
          <cell r="P295" t="str">
            <v>Open plan Risk</v>
          </cell>
        </row>
        <row r="296">
          <cell r="I296">
            <v>1444</v>
          </cell>
          <cell r="J296" t="str">
            <v>Property, plant &amp; equipment, Movable assets, COMPUTER EQUIPMENT, Other Assets, Dell Laptop/Gugu broken</v>
          </cell>
          <cell r="K296" t="str">
            <v>Dell Laptop/Gugu broken</v>
          </cell>
          <cell r="N296">
            <v>1</v>
          </cell>
          <cell r="O296" t="str">
            <v>Main offices</v>
          </cell>
          <cell r="P296" t="str">
            <v>Open Plan Risk</v>
          </cell>
        </row>
        <row r="297">
          <cell r="I297">
            <v>1610</v>
          </cell>
          <cell r="J297" t="str">
            <v>Property, plant &amp; equipment, Movable assets, FURNITURE AND FITTINGS, Other Assets, Black chair Ativo</v>
          </cell>
          <cell r="K297" t="str">
            <v>Black chair Ativo</v>
          </cell>
          <cell r="N297">
            <v>1</v>
          </cell>
          <cell r="O297" t="str">
            <v>Main offices</v>
          </cell>
          <cell r="P297" t="str">
            <v>Open plan Risk</v>
          </cell>
        </row>
        <row r="298">
          <cell r="I298" t="str">
            <v>NHC000650</v>
          </cell>
          <cell r="J298" t="str">
            <v>Property, plant &amp; equipment, Movable assets, FURNITURE AND FITTINGS, Other Assets, CUPBOARD</v>
          </cell>
          <cell r="K298" t="str">
            <v>CUPBOARD</v>
          </cell>
          <cell r="N298">
            <v>1</v>
          </cell>
          <cell r="O298" t="str">
            <v>Main offices</v>
          </cell>
          <cell r="P298" t="str">
            <v>Open Plan Risk</v>
          </cell>
        </row>
        <row r="299">
          <cell r="I299" t="str">
            <v>NHC000651</v>
          </cell>
          <cell r="J299" t="str">
            <v>Property, plant &amp; equipment, Movable assets, FURNITURE AND FITTINGS, Other Assets, DESK WITH DRAWERS</v>
          </cell>
          <cell r="K299" t="str">
            <v>DESK WITH DRAWERS</v>
          </cell>
          <cell r="N299">
            <v>1</v>
          </cell>
          <cell r="O299" t="str">
            <v>Main offices</v>
          </cell>
          <cell r="P299" t="str">
            <v>Open plan Risk</v>
          </cell>
        </row>
        <row r="300">
          <cell r="I300">
            <v>1128</v>
          </cell>
          <cell r="J300" t="str">
            <v>Property, plant &amp; equipment, Movable assets, FURNITURE AND FITTINGS, Other Assets, Rectangular Workshop/ Desk</v>
          </cell>
          <cell r="K300" t="str">
            <v>Rectangular Workshop/ Desk</v>
          </cell>
          <cell r="N300">
            <v>1</v>
          </cell>
          <cell r="O300" t="str">
            <v>Main offices</v>
          </cell>
          <cell r="P300" t="str">
            <v>Open plan Risk</v>
          </cell>
        </row>
        <row r="301">
          <cell r="I301" t="str">
            <v>NHC0076</v>
          </cell>
          <cell r="J301" t="str">
            <v>Property, plant &amp; equipment, Movable assets, FURNITURE AND FITTINGS, Other Assets, 1800*600mm L Extension</v>
          </cell>
          <cell r="K301" t="str">
            <v>1800*600mm L Extension</v>
          </cell>
          <cell r="N301">
            <v>1</v>
          </cell>
          <cell r="O301" t="str">
            <v>Main offices</v>
          </cell>
          <cell r="P301" t="str">
            <v>Open plan Risk</v>
          </cell>
        </row>
        <row r="302">
          <cell r="I302">
            <v>1122</v>
          </cell>
          <cell r="J302" t="str">
            <v>Property, plant &amp; equipment, Movable assets, FURNITURE AND FITTINGS, Other Assets, Rectangular Workshop/ Desk</v>
          </cell>
          <cell r="K302" t="str">
            <v>Rectangular Workshop/ Desk</v>
          </cell>
          <cell r="N302">
            <v>1</v>
          </cell>
          <cell r="O302" t="str">
            <v>Main offices</v>
          </cell>
          <cell r="P302" t="str">
            <v>Open plan Risk</v>
          </cell>
        </row>
        <row r="303">
          <cell r="I303">
            <v>688</v>
          </cell>
          <cell r="J303" t="str">
            <v>Property, plant &amp; equipment, Movable assets, FURNITURE AND FITTINGS, Other Assets, CHAIR VISITOR</v>
          </cell>
          <cell r="K303" t="str">
            <v>CHAIR VISITOR</v>
          </cell>
          <cell r="N303">
            <v>1</v>
          </cell>
          <cell r="O303" t="str">
            <v>Main offices</v>
          </cell>
          <cell r="P303" t="str">
            <v>Open Plan Risk</v>
          </cell>
        </row>
        <row r="304">
          <cell r="I304">
            <v>1529</v>
          </cell>
          <cell r="J304" t="str">
            <v>Property, plant &amp; equipment, Movable assets, COMPUTER EQUIPMENT, Other Assets, DELL LAPTOP/Zandalee</v>
          </cell>
          <cell r="K304" t="str">
            <v>DELL LAPTOP/Zandalee</v>
          </cell>
          <cell r="L304" t="str">
            <v>N/A</v>
          </cell>
          <cell r="N304">
            <v>1</v>
          </cell>
          <cell r="O304" t="str">
            <v>Main offices</v>
          </cell>
          <cell r="P304" t="str">
            <v xml:space="preserve">R3 Open plan finance </v>
          </cell>
        </row>
        <row r="305">
          <cell r="I305">
            <v>1789</v>
          </cell>
          <cell r="J305" t="str">
            <v>Property, plant &amp; equipment, Movable assets, COMPUTER EQUIPMENT, Other Assets, Lenovo Thinking Pad - Palesa</v>
          </cell>
          <cell r="K305" t="str">
            <v>Lenovo Thinking Pad - Palesa</v>
          </cell>
          <cell r="N305">
            <v>1</v>
          </cell>
          <cell r="O305" t="str">
            <v>Main offices</v>
          </cell>
          <cell r="P305" t="str">
            <v>R18</v>
          </cell>
        </row>
        <row r="306">
          <cell r="I306" t="str">
            <v>NHC 000225</v>
          </cell>
          <cell r="J306" t="str">
            <v>Property, plant &amp; equipment, Movable assets, FURNITURE AND FITTINGS, Other Assets, 2Div Windsor couch Leather</v>
          </cell>
          <cell r="K306" t="str">
            <v>2Div Windsor couch Leather</v>
          </cell>
          <cell r="N306">
            <v>1</v>
          </cell>
          <cell r="O306" t="str">
            <v>Main offices</v>
          </cell>
          <cell r="P306" t="str">
            <v xml:space="preserve">Open plan co- business </v>
          </cell>
        </row>
        <row r="307">
          <cell r="I307" t="str">
            <v>NHC001002</v>
          </cell>
          <cell r="J307" t="str">
            <v>Property, plant &amp; equipment, Movable assets, FURNITURE AND FITTINGS, Other Assets, Tubby Armchair</v>
          </cell>
          <cell r="K307" t="str">
            <v>Tubby Armchair</v>
          </cell>
          <cell r="N307">
            <v>1</v>
          </cell>
          <cell r="O307" t="str">
            <v>Main offices</v>
          </cell>
          <cell r="P307" t="str">
            <v>R18</v>
          </cell>
        </row>
        <row r="308">
          <cell r="I308" t="str">
            <v>NHC001004</v>
          </cell>
          <cell r="J308" t="str">
            <v>Property, plant &amp; equipment, Movable assets, FURNITURE AND FITTINGS, Other Assets, Tubby Armchair</v>
          </cell>
          <cell r="K308" t="str">
            <v>Tubby Armchair</v>
          </cell>
          <cell r="N308">
            <v>1</v>
          </cell>
          <cell r="O308" t="str">
            <v>Main offices</v>
          </cell>
          <cell r="P308" t="str">
            <v xml:space="preserve">Open plan co- business </v>
          </cell>
        </row>
        <row r="309">
          <cell r="I309" t="str">
            <v>NHC001020</v>
          </cell>
          <cell r="J309" t="str">
            <v>Property, plant &amp; equipment, Movable assets, OFFICE EQUIPMENT AND TOOLS, Other Assets, Microwave</v>
          </cell>
          <cell r="K309" t="str">
            <v>Microwave</v>
          </cell>
          <cell r="N309">
            <v>1</v>
          </cell>
          <cell r="O309" t="str">
            <v>Main offices</v>
          </cell>
          <cell r="P309" t="str">
            <v>R18</v>
          </cell>
        </row>
        <row r="310">
          <cell r="I310" t="str">
            <v>NHC000200</v>
          </cell>
          <cell r="J310" t="str">
            <v>Property, plant &amp; equipment, Movable assets, OFFICE EQUIPMENT AND TOOLS, Other Assets, Defy 361 Combi Fridge</v>
          </cell>
          <cell r="K310" t="str">
            <v>Defy 361 Combi Fridge</v>
          </cell>
          <cell r="N310">
            <v>1</v>
          </cell>
          <cell r="O310" t="str">
            <v>Main offices</v>
          </cell>
          <cell r="P310" t="str">
            <v>R18</v>
          </cell>
        </row>
        <row r="311">
          <cell r="I311" t="str">
            <v>000079</v>
          </cell>
          <cell r="J311" t="str">
            <v>Property, plant &amp; equipment, Movable assets, FURNITURE AND FITTINGS, Other Assets, Midback Leather Chair armrest steelframe- maroon</v>
          </cell>
          <cell r="K311" t="str">
            <v>Midback Leather Chair armrest steelframe- maroon</v>
          </cell>
          <cell r="N311">
            <v>1</v>
          </cell>
          <cell r="O311" t="str">
            <v>Main offices</v>
          </cell>
          <cell r="P311" t="str">
            <v>Open Plan core business</v>
          </cell>
        </row>
        <row r="312">
          <cell r="I312">
            <v>1132</v>
          </cell>
          <cell r="J312" t="str">
            <v>Property, plant &amp; equipment, Movable assets, FURNITURE AND FITTINGS, Other Assets, Rectangular Workshop/ Desk</v>
          </cell>
          <cell r="K312" t="str">
            <v>Rectangular Workshop/ Desk</v>
          </cell>
          <cell r="N312">
            <v>1</v>
          </cell>
          <cell r="O312" t="str">
            <v>Main offices</v>
          </cell>
          <cell r="P312" t="str">
            <v xml:space="preserve">Open plan co- business </v>
          </cell>
        </row>
        <row r="313">
          <cell r="I313" t="str">
            <v>NHC 000347</v>
          </cell>
          <cell r="J313" t="str">
            <v>Property, plant &amp; equipment, Movable assets, FURNITURE AND FITTINGS, Other Assets, Chair</v>
          </cell>
          <cell r="K313" t="str">
            <v>Chair</v>
          </cell>
          <cell r="N313">
            <v>1</v>
          </cell>
          <cell r="O313" t="str">
            <v>Main offices</v>
          </cell>
          <cell r="P313" t="str">
            <v>Open Plan core business</v>
          </cell>
        </row>
        <row r="314">
          <cell r="I314" t="str">
            <v>NHC0094</v>
          </cell>
          <cell r="J314" t="str">
            <v>Property, plant &amp; equipment, Movable assets, FURNITURE AND FITTINGS, Other Assets, 1800*900mm Partners Desk</v>
          </cell>
          <cell r="K314" t="str">
            <v>1800*900mm Partners Desk</v>
          </cell>
          <cell r="N314">
            <v>1</v>
          </cell>
          <cell r="O314" t="str">
            <v>Main offices</v>
          </cell>
          <cell r="P314" t="str">
            <v xml:space="preserve">Open plan co- business </v>
          </cell>
        </row>
        <row r="315">
          <cell r="I315" t="str">
            <v>NHC0081</v>
          </cell>
          <cell r="J315" t="str">
            <v>Property, plant &amp; equipment, Movable assets, FURNITURE AND FITTINGS, Other Assets, Coat Hanger</v>
          </cell>
          <cell r="K315" t="str">
            <v>Coat Hanger</v>
          </cell>
          <cell r="N315">
            <v>1</v>
          </cell>
          <cell r="O315" t="str">
            <v>Main offices</v>
          </cell>
          <cell r="P315" t="str">
            <v>Open Plan core business</v>
          </cell>
        </row>
        <row r="316">
          <cell r="I316" t="str">
            <v>NHC 000222</v>
          </cell>
          <cell r="J316" t="str">
            <v>Property, plant &amp; equipment, Movable assets, FURNITURE AND FITTINGS, Other Assets, 1500Systems Cabinet Mahogany Veneer</v>
          </cell>
          <cell r="K316" t="str">
            <v>1500Systems Cabinet Mahogany Veneer</v>
          </cell>
          <cell r="N316">
            <v>1</v>
          </cell>
          <cell r="O316" t="str">
            <v>Main offices</v>
          </cell>
          <cell r="P316" t="str">
            <v xml:space="preserve">Open plan co- business </v>
          </cell>
        </row>
        <row r="317">
          <cell r="I317" t="str">
            <v>NHC 00245</v>
          </cell>
          <cell r="J317" t="str">
            <v>Property, plant &amp; equipment, Movable assets, FURNITURE AND FITTINGS, Other Assets, 1500 B/Case W/Glass Mahogany Venneer</v>
          </cell>
          <cell r="K317" t="str">
            <v>1500 B/Case W/Glass Mahogany Venneer</v>
          </cell>
          <cell r="N317">
            <v>1</v>
          </cell>
          <cell r="O317" t="str">
            <v>Main offices</v>
          </cell>
          <cell r="P317" t="str">
            <v xml:space="preserve">Open plan co- business </v>
          </cell>
        </row>
        <row r="318">
          <cell r="I318">
            <v>1121</v>
          </cell>
          <cell r="J318" t="str">
            <v>Property, plant &amp; equipment, Movable assets, FURNITURE AND FITTINGS, Other Assets, Rectangular Workshop/ Desk</v>
          </cell>
          <cell r="K318" t="str">
            <v>Rectangular Workshop/ Desk</v>
          </cell>
          <cell r="N318">
            <v>1</v>
          </cell>
          <cell r="O318" t="str">
            <v>Main offices</v>
          </cell>
          <cell r="P318" t="str">
            <v xml:space="preserve">Open plan co- business </v>
          </cell>
        </row>
        <row r="319">
          <cell r="I319" t="str">
            <v>NHC001552</v>
          </cell>
          <cell r="J319" t="str">
            <v>Property, plant &amp; equipment, Movable assets, COMPUTER EQUIPMENT, Other Assets, Laptop Dell Mobile Precision Workstation 3561 CTO</v>
          </cell>
          <cell r="K319" t="str">
            <v>Laptop Dell Mobile Precision Workstation 3561 CTO</v>
          </cell>
          <cell r="L319" t="str">
            <v>FRV5TL3</v>
          </cell>
          <cell r="N319">
            <v>1</v>
          </cell>
          <cell r="O319" t="str">
            <v>Main offices</v>
          </cell>
          <cell r="P319" t="str">
            <v xml:space="preserve">Open plan co- business </v>
          </cell>
        </row>
        <row r="320">
          <cell r="I320">
            <v>1228</v>
          </cell>
          <cell r="J320" t="str">
            <v>Property, plant &amp; equipment, Movable assets, FURNITURE AND FITTINGS, Other Assets, Mobile Pedestal</v>
          </cell>
          <cell r="K320" t="str">
            <v>Mobile Pedestal</v>
          </cell>
          <cell r="N320">
            <v>1</v>
          </cell>
          <cell r="O320" t="str">
            <v>Main offices</v>
          </cell>
          <cell r="P320" t="str">
            <v>Open Plan core business</v>
          </cell>
        </row>
        <row r="321">
          <cell r="I321" t="str">
            <v>NHC001010</v>
          </cell>
          <cell r="J321" t="str">
            <v>Property, plant &amp; equipment, Movable assets, FURNITURE AND FITTINGS, Other Assets, Eez-Off Swivel Tub Chair</v>
          </cell>
          <cell r="K321" t="str">
            <v>Eez-Off Swivel Tub Chair</v>
          </cell>
          <cell r="N321">
            <v>1</v>
          </cell>
          <cell r="O321" t="str">
            <v>Main offices</v>
          </cell>
          <cell r="P321" t="str">
            <v xml:space="preserve">Open plan co- business </v>
          </cell>
        </row>
        <row r="322">
          <cell r="I322">
            <v>1229</v>
          </cell>
          <cell r="J322" t="str">
            <v>Property, plant &amp; equipment, Movable assets, FURNITURE AND FITTINGS, Other Assets, Mobile Pedestal</v>
          </cell>
          <cell r="K322" t="str">
            <v>Mobile Pedestal</v>
          </cell>
          <cell r="N322">
            <v>1</v>
          </cell>
          <cell r="O322" t="str">
            <v>Main offices</v>
          </cell>
          <cell r="P322" t="str">
            <v>Open Plan core business</v>
          </cell>
        </row>
        <row r="323">
          <cell r="I323" t="str">
            <v>NHC000783</v>
          </cell>
          <cell r="J323" t="str">
            <v>Property, plant &amp; equipment, Movable assets, FURNITURE AND FITTINGS, Other Assets, High Street Visitors Chair Black Bonded Leather</v>
          </cell>
          <cell r="K323" t="str">
            <v>High Street Visitors Chair Black Bonded Leather</v>
          </cell>
          <cell r="N323">
            <v>1</v>
          </cell>
          <cell r="O323" t="str">
            <v>Main offices</v>
          </cell>
          <cell r="P323" t="str">
            <v xml:space="preserve">Open plan co- business </v>
          </cell>
        </row>
        <row r="324">
          <cell r="I324">
            <v>1227</v>
          </cell>
          <cell r="J324" t="str">
            <v>Property, plant &amp; equipment, Movable assets, FURNITURE AND FITTINGS, Other Assets, Mobile Pedestal</v>
          </cell>
          <cell r="K324" t="str">
            <v>Mobile Pedestal</v>
          </cell>
          <cell r="N324">
            <v>1</v>
          </cell>
          <cell r="O324" t="str">
            <v>Main offices</v>
          </cell>
          <cell r="P324" t="str">
            <v xml:space="preserve">Open plan co- business </v>
          </cell>
        </row>
        <row r="325">
          <cell r="I325">
            <v>1627</v>
          </cell>
          <cell r="J325" t="str">
            <v>Property, plant &amp; equipment, Movable assets, FURNITURE AND FITTINGS, Other Assets, Training Table</v>
          </cell>
          <cell r="K325" t="str">
            <v>Training Table</v>
          </cell>
          <cell r="N325">
            <v>1</v>
          </cell>
          <cell r="O325" t="str">
            <v>Main offices</v>
          </cell>
          <cell r="P325" t="str">
            <v xml:space="preserve">Open plan co- business </v>
          </cell>
        </row>
        <row r="326">
          <cell r="I326">
            <v>1065</v>
          </cell>
          <cell r="J326" t="str">
            <v>Property, plant &amp; equipment, Movable assets, COMPUTER EQUIPMENT, Other Assets, Monitor (Desktop Computer)</v>
          </cell>
          <cell r="K326" t="str">
            <v>Monitor (Desktop Computer)</v>
          </cell>
          <cell r="N326">
            <v>1</v>
          </cell>
          <cell r="O326" t="str">
            <v>Main offices</v>
          </cell>
          <cell r="P326" t="str">
            <v>Open Plan core business</v>
          </cell>
        </row>
        <row r="327">
          <cell r="I327" t="str">
            <v>NHC000683</v>
          </cell>
          <cell r="J327" t="str">
            <v>Property, plant &amp; equipment, Movable assets, FURNITURE AND FITTINGS, Other Assets, CHAIR HIGHBACK LEATHER</v>
          </cell>
          <cell r="K327" t="str">
            <v>CHAIR HIGHBACK LEATHER</v>
          </cell>
          <cell r="N327">
            <v>1</v>
          </cell>
          <cell r="O327" t="str">
            <v>Main offices</v>
          </cell>
          <cell r="P327" t="str">
            <v>Open Plan core business</v>
          </cell>
        </row>
        <row r="328">
          <cell r="I328" t="str">
            <v>NHC 000221</v>
          </cell>
          <cell r="J328" t="str">
            <v>Property, plant &amp; equipment, Movable assets, FURNITURE AND FITTINGS, Other Assets, 1500 Systems Cabinet Mahogany Veneer</v>
          </cell>
          <cell r="K328" t="str">
            <v>1500 Systems Cabinet Mahogany Veneer</v>
          </cell>
          <cell r="N328">
            <v>1</v>
          </cell>
          <cell r="O328" t="str">
            <v>Main offices</v>
          </cell>
          <cell r="P328" t="str">
            <v>Open Plan core business</v>
          </cell>
        </row>
        <row r="329">
          <cell r="I329" t="str">
            <v>NHC000668</v>
          </cell>
          <cell r="J329" t="str">
            <v>Property, plant &amp; equipment, Movable assets, FURNITURE AND FITTINGS, Other Assets, CHAIR HIGHBACL LEATHER</v>
          </cell>
          <cell r="K329" t="str">
            <v>CHAIR HIGHBACL LEATHER</v>
          </cell>
          <cell r="N329">
            <v>1</v>
          </cell>
          <cell r="O329" t="str">
            <v>Main offices</v>
          </cell>
          <cell r="P329" t="str">
            <v>Open Plan core business</v>
          </cell>
        </row>
        <row r="330">
          <cell r="I330" t="str">
            <v>NHC000946</v>
          </cell>
          <cell r="J330" t="str">
            <v>Property, plant &amp; equipment, Movable assets, FURNITURE AND FITTINGS, Other Assets, Desk with Drawer</v>
          </cell>
          <cell r="K330" t="str">
            <v>Desk with Drawer</v>
          </cell>
          <cell r="N330">
            <v>1</v>
          </cell>
          <cell r="O330" t="str">
            <v>Main offices</v>
          </cell>
          <cell r="P330" t="str">
            <v>Open Plan core business</v>
          </cell>
        </row>
        <row r="331">
          <cell r="I331" t="str">
            <v>NHC00399</v>
          </cell>
          <cell r="J331" t="str">
            <v>Property, plant &amp; equipment, Movable assets, FURNITURE AND FITTINGS, Other Assets, Tradional Desk</v>
          </cell>
          <cell r="K331" t="str">
            <v>Tradional Desk</v>
          </cell>
          <cell r="N331">
            <v>1</v>
          </cell>
          <cell r="O331" t="str">
            <v>Main offices</v>
          </cell>
          <cell r="P331" t="str">
            <v xml:space="preserve">Open plan co- business </v>
          </cell>
        </row>
        <row r="332">
          <cell r="I332">
            <v>1445</v>
          </cell>
          <cell r="J332" t="str">
            <v>Property, plant &amp; equipment, Movable assets, COMPUTER EQUIPMENT, Other Assets, Dell Laptop/Ntebo</v>
          </cell>
          <cell r="K332" t="str">
            <v>Dell Laptop/Ntebo</v>
          </cell>
          <cell r="N332">
            <v>1</v>
          </cell>
          <cell r="O332" t="str">
            <v>Main offices</v>
          </cell>
          <cell r="P332" t="str">
            <v xml:space="preserve">Open plan co- business </v>
          </cell>
        </row>
        <row r="333">
          <cell r="I333">
            <v>1628</v>
          </cell>
          <cell r="J333" t="str">
            <v>Property, plant &amp; equipment, Movable assets, FURNITURE AND FITTINGS, Other Assets, Desk &amp; Pedestal</v>
          </cell>
          <cell r="K333" t="str">
            <v>Desk &amp; Pedestal</v>
          </cell>
          <cell r="N333">
            <v>1</v>
          </cell>
          <cell r="O333" t="str">
            <v>Main offices</v>
          </cell>
          <cell r="P333" t="str">
            <v>Open Plan core business</v>
          </cell>
        </row>
        <row r="334">
          <cell r="I334">
            <v>1116</v>
          </cell>
          <cell r="J334" t="str">
            <v>Property, plant &amp; equipment, Movable assets, FURNITURE AND FITTINGS, Other Assets, Bus Class Visitors Chair</v>
          </cell>
          <cell r="K334" t="str">
            <v>Bus Class Visitors Chair</v>
          </cell>
          <cell r="N334">
            <v>1</v>
          </cell>
          <cell r="O334" t="str">
            <v>Main offices</v>
          </cell>
          <cell r="P334" t="str">
            <v>Open Plan core business</v>
          </cell>
        </row>
        <row r="335">
          <cell r="I335" t="str">
            <v>NHC001548</v>
          </cell>
          <cell r="J335" t="str">
            <v>Property, plant &amp; equipment, Movable assets, COMPUTER EQUIPMENT, Other Assets, Laptop Dell Mobile Precision Workstation 3561 CTO</v>
          </cell>
          <cell r="K335" t="str">
            <v>Laptop Dell Mobile Precision Workstation 3561 CTO</v>
          </cell>
          <cell r="N335">
            <v>1</v>
          </cell>
          <cell r="O335" t="str">
            <v>Main offices</v>
          </cell>
          <cell r="P335" t="str">
            <v>Open Plan core business</v>
          </cell>
        </row>
        <row r="336">
          <cell r="I336">
            <v>1623</v>
          </cell>
          <cell r="J336" t="str">
            <v>Property, plant &amp; equipment, Movable assets, FURNITURE AND FITTINGS, Other Assets, Training Table</v>
          </cell>
          <cell r="K336" t="str">
            <v>Training Table</v>
          </cell>
          <cell r="N336">
            <v>1</v>
          </cell>
          <cell r="O336" t="str">
            <v>Main offices</v>
          </cell>
          <cell r="P336" t="str">
            <v>Open Plan core business</v>
          </cell>
        </row>
        <row r="337">
          <cell r="I337">
            <v>1631</v>
          </cell>
          <cell r="J337" t="str">
            <v>Property, plant &amp; equipment, Movable assets, FURNITURE AND FITTINGS, Other Assets, Desk &amp; Pedestal</v>
          </cell>
          <cell r="K337" t="str">
            <v>Desk &amp; Pedestal</v>
          </cell>
          <cell r="N337">
            <v>1</v>
          </cell>
          <cell r="O337" t="str">
            <v>Main offices</v>
          </cell>
          <cell r="P337" t="str">
            <v>Open Plan core business</v>
          </cell>
        </row>
        <row r="338">
          <cell r="I338">
            <v>1617</v>
          </cell>
          <cell r="J338" t="str">
            <v>Property, plant &amp; equipment, Movable assets, FURNITURE AND FITTINGS, Other Assets, Black chair Ativo</v>
          </cell>
          <cell r="K338" t="str">
            <v>Black chair Ativo</v>
          </cell>
          <cell r="N338">
            <v>1</v>
          </cell>
          <cell r="O338" t="str">
            <v>Main offices</v>
          </cell>
          <cell r="P338" t="str">
            <v>Open Plan core business</v>
          </cell>
        </row>
        <row r="339">
          <cell r="I339" t="str">
            <v>NHC000915</v>
          </cell>
          <cell r="J339" t="str">
            <v>Property, plant &amp; equipment, Movable assets, FURNITURE AND FITTINGS, Other Assets, TABLE ROUND CONFERENCE</v>
          </cell>
          <cell r="K339" t="str">
            <v>TABLE ROUND CONFERENCE</v>
          </cell>
          <cell r="N339">
            <v>1</v>
          </cell>
          <cell r="O339" t="str">
            <v>Main offices</v>
          </cell>
          <cell r="P339" t="str">
            <v xml:space="preserve">Open plan co- business </v>
          </cell>
        </row>
        <row r="340">
          <cell r="I340" t="str">
            <v>NHC 000224</v>
          </cell>
          <cell r="J340" t="str">
            <v>Property, plant &amp; equipment, Movable assets, FURNITURE AND FITTINGS, Other Assets, Visitors chair Leather</v>
          </cell>
          <cell r="K340" t="str">
            <v>Visitors chair Leather</v>
          </cell>
          <cell r="N340">
            <v>1</v>
          </cell>
          <cell r="O340" t="str">
            <v>Main offices</v>
          </cell>
          <cell r="P340" t="str">
            <v xml:space="preserve">Open plan co- business </v>
          </cell>
        </row>
        <row r="341">
          <cell r="I341" t="str">
            <v>NHC 000249</v>
          </cell>
          <cell r="J341" t="str">
            <v>Property, plant &amp; equipment, Movable assets, FURNITURE AND FITTINGS, Other Assets, Highback chair Leather</v>
          </cell>
          <cell r="K341" t="str">
            <v>Highback chair Leather</v>
          </cell>
          <cell r="N341">
            <v>1</v>
          </cell>
          <cell r="O341" t="str">
            <v>Main offices</v>
          </cell>
          <cell r="P341" t="str">
            <v xml:space="preserve">Open plan co- business </v>
          </cell>
        </row>
        <row r="342">
          <cell r="I342" t="str">
            <v>NHC104</v>
          </cell>
          <cell r="J342" t="str">
            <v>Property, plant &amp; equipment, Movable assets, FURNITURE AND FITTINGS, Other Assets, 3 Drawer Pedestal</v>
          </cell>
          <cell r="K342" t="str">
            <v>3 Drawer Pedestal</v>
          </cell>
          <cell r="N342">
            <v>1</v>
          </cell>
          <cell r="O342" t="str">
            <v>Main offices</v>
          </cell>
          <cell r="P342" t="str">
            <v xml:space="preserve">Open plan co- business </v>
          </cell>
        </row>
        <row r="343">
          <cell r="I343" t="str">
            <v>NHC000083</v>
          </cell>
          <cell r="J343" t="str">
            <v>Property, plant &amp; equipment, Movable assets, FURNITURE AND FITTINGS, Other Assets, 1500*750mm Reception desk with modesty panel</v>
          </cell>
          <cell r="K343" t="str">
            <v>1500*750mm Reception desk with modesty panel</v>
          </cell>
          <cell r="N343">
            <v>1</v>
          </cell>
          <cell r="O343" t="str">
            <v>Main offices</v>
          </cell>
          <cell r="P343" t="str">
            <v xml:space="preserve">Open plan co- business </v>
          </cell>
        </row>
        <row r="344">
          <cell r="I344" t="str">
            <v>NHC000675</v>
          </cell>
          <cell r="J344" t="str">
            <v>Property, plant &amp; equipment, Movable assets, FURNITURE AND FITTINGS, Other Assets, CHAIR VISITOR</v>
          </cell>
          <cell r="K344" t="str">
            <v>CHAIR VISITOR</v>
          </cell>
          <cell r="N344">
            <v>1</v>
          </cell>
          <cell r="O344" t="str">
            <v>Main offices</v>
          </cell>
          <cell r="P344" t="str">
            <v xml:space="preserve">Open Plan Co business </v>
          </cell>
        </row>
        <row r="345">
          <cell r="I345" t="str">
            <v>NHC 000217</v>
          </cell>
          <cell r="J345" t="str">
            <v>Property, plant &amp; equipment, Movable assets, FURNITURE AND FITTINGS, Other Assets, 1500 Systems Cabinet Mahogany Veneer</v>
          </cell>
          <cell r="K345" t="str">
            <v>1500 Systems Cabinet Mahogany Veneer</v>
          </cell>
          <cell r="N345">
            <v>1</v>
          </cell>
          <cell r="O345" t="str">
            <v>Main offices</v>
          </cell>
          <cell r="P345" t="str">
            <v>Open Plan core business</v>
          </cell>
        </row>
        <row r="346">
          <cell r="I346" t="str">
            <v>NHC 000246</v>
          </cell>
          <cell r="J346" t="str">
            <v>Property, plant &amp; equipment, Movable assets, FURNITURE AND FITTINGS, Other Assets, Visitors chair Leather</v>
          </cell>
          <cell r="K346" t="str">
            <v>Visitors chair Leather</v>
          </cell>
          <cell r="N346">
            <v>1</v>
          </cell>
          <cell r="O346" t="str">
            <v>Main offices</v>
          </cell>
          <cell r="P346" t="str">
            <v xml:space="preserve">Open plan co- business </v>
          </cell>
        </row>
        <row r="347">
          <cell r="I347">
            <v>1611</v>
          </cell>
          <cell r="J347" t="str">
            <v>Property, plant &amp; equipment, Movable assets, FURNITURE AND FITTINGS, Other Assets, Black chair Ativo</v>
          </cell>
          <cell r="K347" t="str">
            <v>Black chair Ativo</v>
          </cell>
          <cell r="N347">
            <v>1</v>
          </cell>
          <cell r="O347" t="str">
            <v>Main offices</v>
          </cell>
          <cell r="P347" t="str">
            <v xml:space="preserve">Open Plan Co business </v>
          </cell>
        </row>
        <row r="348">
          <cell r="I348" t="str">
            <v>NHC 000234</v>
          </cell>
          <cell r="J348" t="str">
            <v>Property, plant &amp; equipment, Movable assets, FURNITURE AND FITTINGS, Other Assets, 1500 B/Case W/Glass Mahogany Veneer</v>
          </cell>
          <cell r="K348" t="str">
            <v>1500 B/Case W/Glass Mahogany Veneer</v>
          </cell>
          <cell r="N348">
            <v>1</v>
          </cell>
          <cell r="O348" t="str">
            <v>Main offices</v>
          </cell>
          <cell r="P348" t="str">
            <v xml:space="preserve">Open plan co- business </v>
          </cell>
        </row>
        <row r="349">
          <cell r="I349">
            <v>1632</v>
          </cell>
          <cell r="J349" t="str">
            <v>Property, plant &amp; equipment, Movable assets, FURNITURE AND FITTINGS, Other Assets, Desk &amp; Pedestal</v>
          </cell>
          <cell r="K349" t="str">
            <v>Desk &amp; Pedestal</v>
          </cell>
          <cell r="N349">
            <v>1</v>
          </cell>
          <cell r="O349" t="str">
            <v>Main offices</v>
          </cell>
          <cell r="P349" t="str">
            <v xml:space="preserve">Open Plan Co business </v>
          </cell>
        </row>
        <row r="350">
          <cell r="I350" t="str">
            <v>NHC000391</v>
          </cell>
          <cell r="J350" t="str">
            <v>Property, plant &amp; equipment, Movable assets, FURNITURE AND FITTINGS, Other Assets, Desk</v>
          </cell>
          <cell r="K350" t="str">
            <v>Desk</v>
          </cell>
          <cell r="N350">
            <v>1</v>
          </cell>
          <cell r="O350" t="str">
            <v>Main offices</v>
          </cell>
          <cell r="P350" t="str">
            <v xml:space="preserve">Open plan co- business </v>
          </cell>
        </row>
        <row r="351">
          <cell r="I351">
            <v>1223</v>
          </cell>
          <cell r="J351" t="str">
            <v>Property, plant &amp; equipment, Movable assets, FURNITURE AND FITTINGS, Other Assets, Mobile Pedestal</v>
          </cell>
          <cell r="K351" t="str">
            <v>Mobile Pedestal</v>
          </cell>
          <cell r="N351">
            <v>1</v>
          </cell>
          <cell r="O351" t="str">
            <v>Main offices</v>
          </cell>
          <cell r="P351" t="str">
            <v xml:space="preserve">Open Plan Co business </v>
          </cell>
        </row>
        <row r="352">
          <cell r="I352">
            <v>1532</v>
          </cell>
          <cell r="J352" t="str">
            <v>Property, plant &amp; equipment, Movable assets, COMPUTER EQUIPMENT, Other Assets, DELL LAPTOP/Matime</v>
          </cell>
          <cell r="K352" t="str">
            <v>DELL LAPTOP/Matime</v>
          </cell>
          <cell r="N352">
            <v>1</v>
          </cell>
          <cell r="O352" t="str">
            <v>Main offices</v>
          </cell>
          <cell r="P352" t="str">
            <v>Open Plan core business</v>
          </cell>
        </row>
        <row r="353">
          <cell r="I353">
            <v>1604</v>
          </cell>
          <cell r="J353" t="str">
            <v>Property, plant &amp; equipment, Movable assets, FURNITURE AND FITTINGS, Other Assets, Black chair Ativo</v>
          </cell>
          <cell r="K353" t="str">
            <v>Black chair Ativo</v>
          </cell>
          <cell r="N353">
            <v>1</v>
          </cell>
          <cell r="O353" t="str">
            <v>Main offices</v>
          </cell>
          <cell r="P353" t="str">
            <v>Open Plan core business</v>
          </cell>
        </row>
        <row r="354">
          <cell r="I354" t="str">
            <v>NHC000516</v>
          </cell>
          <cell r="J354" t="str">
            <v>Property, plant &amp; equipment, Movable assets, FURNITURE AND FITTINGS, Other Assets, Hinged Door Cabinet</v>
          </cell>
          <cell r="K354" t="str">
            <v>Hinged Door Cabinet</v>
          </cell>
          <cell r="N354">
            <v>1</v>
          </cell>
          <cell r="O354" t="str">
            <v>Main offices</v>
          </cell>
          <cell r="P354" t="str">
            <v xml:space="preserve">Open plan co- business </v>
          </cell>
        </row>
        <row r="355">
          <cell r="I355">
            <v>1605</v>
          </cell>
          <cell r="J355" t="str">
            <v>Property, plant &amp; equipment, Movable assets, FURNITURE AND FITTINGS, Other Assets, Black chair Ativo</v>
          </cell>
          <cell r="K355" t="str">
            <v>Black chair Ativo</v>
          </cell>
          <cell r="N355">
            <v>1</v>
          </cell>
          <cell r="O355" t="str">
            <v>Main offices</v>
          </cell>
          <cell r="P355" t="str">
            <v xml:space="preserve">Open Plan Co business </v>
          </cell>
        </row>
        <row r="356">
          <cell r="I356">
            <v>1625</v>
          </cell>
          <cell r="J356" t="str">
            <v>Property, plant &amp; equipment, Movable assets, FURNITURE AND FITTINGS, Other Assets, Training Table</v>
          </cell>
          <cell r="K356" t="str">
            <v>Training Table</v>
          </cell>
          <cell r="N356">
            <v>1</v>
          </cell>
          <cell r="O356" t="str">
            <v>Main offices</v>
          </cell>
          <cell r="P356" t="str">
            <v xml:space="preserve">Open Plan Co business </v>
          </cell>
        </row>
        <row r="357">
          <cell r="I357" t="str">
            <v>NHC 000235</v>
          </cell>
          <cell r="J357" t="str">
            <v>Property, plant &amp; equipment, Movable assets, FURNITURE AND FITTINGS, Other Assets, 1500 Systems Cabinet Mahogany Veneer</v>
          </cell>
          <cell r="K357" t="str">
            <v>1500 Systems Cabinet Mahogany Veneer</v>
          </cell>
          <cell r="N357">
            <v>1</v>
          </cell>
          <cell r="O357" t="str">
            <v>Main offices</v>
          </cell>
          <cell r="P357" t="str">
            <v>Open Plan core business</v>
          </cell>
        </row>
        <row r="358">
          <cell r="I358">
            <v>1609</v>
          </cell>
          <cell r="J358" t="str">
            <v>Property, plant &amp; equipment, Movable assets, FURNITURE AND FITTINGS, Other Assets, Black chair Ativo</v>
          </cell>
          <cell r="K358" t="str">
            <v>Black chair Ativo</v>
          </cell>
          <cell r="N358">
            <v>1</v>
          </cell>
          <cell r="O358" t="str">
            <v>Main offices</v>
          </cell>
          <cell r="P358" t="str">
            <v xml:space="preserve">Open Plan Co business </v>
          </cell>
        </row>
        <row r="359">
          <cell r="I359">
            <v>1621</v>
          </cell>
          <cell r="J359" t="str">
            <v>Property, plant &amp; equipment, Movable assets, FURNITURE AND FITTINGS, Other Assets, Training Table</v>
          </cell>
          <cell r="K359" t="str">
            <v>Training Table</v>
          </cell>
          <cell r="N359">
            <v>1</v>
          </cell>
          <cell r="O359" t="str">
            <v>Main offices</v>
          </cell>
          <cell r="P359" t="str">
            <v xml:space="preserve">Open Plan Co business </v>
          </cell>
        </row>
        <row r="360">
          <cell r="I360">
            <v>1614</v>
          </cell>
          <cell r="J360" t="str">
            <v>Property, plant &amp; equipment, Movable assets, FURNITURE AND FITTINGS, Other Assets, Black chair Ativo</v>
          </cell>
          <cell r="K360" t="str">
            <v>Black chair Ativo</v>
          </cell>
          <cell r="N360">
            <v>1</v>
          </cell>
          <cell r="O360" t="str">
            <v>Main offices</v>
          </cell>
          <cell r="P360" t="str">
            <v xml:space="preserve">Open Plan Co business </v>
          </cell>
        </row>
        <row r="361">
          <cell r="I361" t="str">
            <v>NHC000905</v>
          </cell>
          <cell r="J361" t="str">
            <v>Property, plant &amp; equipment, Movable assets, FURNITURE AND FITTINGS, Other Assets, CHAIR HIGHBACK LEATHER</v>
          </cell>
          <cell r="K361" t="str">
            <v>CHAIR HIGHBACK LEATHER</v>
          </cell>
          <cell r="N361">
            <v>1</v>
          </cell>
          <cell r="O361" t="str">
            <v>Main offices</v>
          </cell>
          <cell r="P361" t="str">
            <v>R30</v>
          </cell>
        </row>
        <row r="362">
          <cell r="I362">
            <v>1618</v>
          </cell>
          <cell r="J362" t="str">
            <v>Property, plant &amp; equipment, Movable assets, FURNITURE AND FITTINGS, Other Assets, Training Table</v>
          </cell>
          <cell r="K362" t="str">
            <v>Training Table</v>
          </cell>
          <cell r="N362">
            <v>1</v>
          </cell>
          <cell r="O362" t="str">
            <v>Main offices</v>
          </cell>
          <cell r="P362" t="str">
            <v>R30</v>
          </cell>
        </row>
        <row r="363">
          <cell r="I363">
            <v>1615</v>
          </cell>
          <cell r="J363" t="str">
            <v>Property, plant &amp; equipment, Movable assets, FURNITURE AND FITTINGS, Other Assets, Black chair Ativo</v>
          </cell>
          <cell r="K363" t="str">
            <v>Black chair Ativo</v>
          </cell>
          <cell r="N363">
            <v>1</v>
          </cell>
          <cell r="O363" t="str">
            <v>Main offices</v>
          </cell>
          <cell r="P363" t="str">
            <v>Open Plan core business</v>
          </cell>
        </row>
        <row r="364">
          <cell r="I364">
            <v>1630</v>
          </cell>
          <cell r="J364" t="str">
            <v>Property, plant &amp; equipment, Movable assets, FURNITURE AND FITTINGS, Other Assets, Desk &amp; Pedestal</v>
          </cell>
          <cell r="K364" t="str">
            <v>Desk &amp; Pedestal</v>
          </cell>
          <cell r="N364">
            <v>1</v>
          </cell>
          <cell r="O364" t="str">
            <v>Main offices</v>
          </cell>
          <cell r="P364" t="str">
            <v>Open Plan core business</v>
          </cell>
        </row>
        <row r="365">
          <cell r="I365">
            <v>1633</v>
          </cell>
          <cell r="J365" t="str">
            <v>Property, plant &amp; equipment, Movable assets, FURNITURE AND FITTINGS, Other Assets, Desk &amp; Pedestal</v>
          </cell>
          <cell r="K365" t="str">
            <v>Desk &amp; Pedestal</v>
          </cell>
          <cell r="N365">
            <v>1</v>
          </cell>
          <cell r="O365" t="str">
            <v>Main offices</v>
          </cell>
          <cell r="P365" t="str">
            <v xml:space="preserve">Open Plan Co business </v>
          </cell>
        </row>
        <row r="366">
          <cell r="I366">
            <v>1603</v>
          </cell>
          <cell r="J366" t="str">
            <v>Property, plant &amp; equipment, Movable assets, FURNITURE AND FITTINGS, Other Assets, Black chair Ativo</v>
          </cell>
          <cell r="K366" t="str">
            <v>Black chair Ativo</v>
          </cell>
          <cell r="N366">
            <v>1</v>
          </cell>
          <cell r="O366" t="str">
            <v>Main offices</v>
          </cell>
          <cell r="P366" t="str">
            <v xml:space="preserve">Open plan Co- Business </v>
          </cell>
        </row>
        <row r="367">
          <cell r="I367">
            <v>1619</v>
          </cell>
          <cell r="J367" t="str">
            <v>Property, plant &amp; equipment, Movable assets, FURNITURE AND FITTINGS, Other Assets, Training Table</v>
          </cell>
          <cell r="K367" t="str">
            <v>Training Table</v>
          </cell>
          <cell r="N367">
            <v>1</v>
          </cell>
          <cell r="O367" t="str">
            <v>Main offices</v>
          </cell>
          <cell r="P367" t="str">
            <v xml:space="preserve">Open plan Co- Business </v>
          </cell>
        </row>
        <row r="368">
          <cell r="I368">
            <v>1635</v>
          </cell>
          <cell r="J368" t="str">
            <v>Property, plant &amp; equipment, Movable assets, FURNITURE AND FITTINGS, Other Assets, Desk &amp; Pedestal</v>
          </cell>
          <cell r="K368" t="str">
            <v>Desk &amp; Pedestal</v>
          </cell>
          <cell r="N368">
            <v>1</v>
          </cell>
          <cell r="O368" t="str">
            <v>Main offices</v>
          </cell>
          <cell r="P368" t="str">
            <v>R27</v>
          </cell>
        </row>
        <row r="369">
          <cell r="I369" t="str">
            <v>NHC 000277</v>
          </cell>
          <cell r="J369" t="str">
            <v>Property, plant &amp; equipment, Movable assets, FURNITURE AND FITTINGS, Other Assets, Rhodes Chair Leather</v>
          </cell>
          <cell r="K369" t="str">
            <v>Rhodes Chair Leather</v>
          </cell>
          <cell r="N369">
            <v>1</v>
          </cell>
          <cell r="O369" t="str">
            <v>Main offices</v>
          </cell>
          <cell r="P369" t="str">
            <v>R27</v>
          </cell>
        </row>
        <row r="370">
          <cell r="I370">
            <v>1607</v>
          </cell>
          <cell r="J370" t="str">
            <v>Property, plant &amp; equipment, Movable assets, FURNITURE AND FITTINGS, Other Assets, Black chair Ativo</v>
          </cell>
          <cell r="K370" t="str">
            <v>Black chair Ativo</v>
          </cell>
          <cell r="N370">
            <v>1</v>
          </cell>
          <cell r="O370" t="str">
            <v>Main offices</v>
          </cell>
          <cell r="P370" t="str">
            <v xml:space="preserve">Open Plan Co business </v>
          </cell>
        </row>
        <row r="371">
          <cell r="I371">
            <v>1622</v>
          </cell>
          <cell r="J371" t="str">
            <v>Property, plant &amp; equipment, Movable assets, FURNITURE AND FITTINGS, Other Assets, Training Table</v>
          </cell>
          <cell r="K371" t="str">
            <v>Training Table</v>
          </cell>
          <cell r="N371">
            <v>1</v>
          </cell>
          <cell r="O371" t="str">
            <v>Main offices</v>
          </cell>
          <cell r="P371" t="str">
            <v xml:space="preserve">Open Plan Co business </v>
          </cell>
        </row>
        <row r="372">
          <cell r="I372" t="str">
            <v>NHC000454</v>
          </cell>
          <cell r="J372" t="str">
            <v>Property, plant &amp; equipment, Movable assets, FURNITURE AND FITTINGS, Other Assets, Conference Table</v>
          </cell>
          <cell r="K372" t="str">
            <v>Conference Table</v>
          </cell>
          <cell r="N372">
            <v>1</v>
          </cell>
          <cell r="O372" t="str">
            <v>Main offices</v>
          </cell>
          <cell r="P372" t="str">
            <v xml:space="preserve">R28 </v>
          </cell>
        </row>
        <row r="373">
          <cell r="I373" t="str">
            <v>NHC 000265</v>
          </cell>
          <cell r="J373" t="str">
            <v>Property, plant &amp; equipment, Movable assets, FURNITURE AND FITTINGS, Other Assets, Visitors chair Leather</v>
          </cell>
          <cell r="K373" t="str">
            <v>Visitors chair Leather</v>
          </cell>
          <cell r="N373">
            <v>1</v>
          </cell>
          <cell r="O373" t="str">
            <v>Main offices</v>
          </cell>
          <cell r="P373" t="str">
            <v>R27</v>
          </cell>
        </row>
        <row r="374">
          <cell r="I374" t="str">
            <v>NHC00790</v>
          </cell>
          <cell r="J374" t="str">
            <v>Property, plant &amp; equipment, Movable assets, COMPUTER EQUIPMENT, Other Assets, Apple MacBook Pro Retina 13.3/Scm Store</v>
          </cell>
          <cell r="K374" t="str">
            <v>Apple MacBook Pro Retina 13.3/Scm Store</v>
          </cell>
          <cell r="N374">
            <v>1</v>
          </cell>
          <cell r="O374" t="str">
            <v>Main offices</v>
          </cell>
          <cell r="P374" t="str">
            <v xml:space="preserve">Open Plan Co business </v>
          </cell>
        </row>
        <row r="375">
          <cell r="I375" t="str">
            <v>NHC 000437</v>
          </cell>
          <cell r="J375" t="str">
            <v>Property, plant &amp; equipment, Movable assets, FURNITURE AND FITTINGS, Other Assets, Rhodes visitors armchair-antique</v>
          </cell>
          <cell r="K375" t="str">
            <v>Rhodes visitors armchair-antique</v>
          </cell>
          <cell r="N375">
            <v>1</v>
          </cell>
          <cell r="O375" t="str">
            <v>Main offices</v>
          </cell>
          <cell r="P375" t="str">
            <v xml:space="preserve">R28 </v>
          </cell>
        </row>
        <row r="376">
          <cell r="I376">
            <v>1624</v>
          </cell>
          <cell r="J376" t="str">
            <v>Property, plant &amp; equipment, Movable assets, FURNITURE AND FITTINGS, Other Assets, Training Table</v>
          </cell>
          <cell r="K376" t="str">
            <v>Training Table</v>
          </cell>
          <cell r="N376">
            <v>1</v>
          </cell>
          <cell r="O376" t="str">
            <v>Main offices</v>
          </cell>
          <cell r="P376" t="str">
            <v>R27</v>
          </cell>
        </row>
        <row r="377">
          <cell r="I377">
            <v>1636</v>
          </cell>
          <cell r="J377" t="str">
            <v>Property, plant &amp; equipment, Movable assets, FURNITURE AND FITTINGS, Other Assets, Desk &amp; Pedestal</v>
          </cell>
          <cell r="K377" t="str">
            <v>Desk &amp; Pedestal</v>
          </cell>
          <cell r="N377">
            <v>1</v>
          </cell>
          <cell r="O377" t="str">
            <v>Main offices</v>
          </cell>
          <cell r="P377" t="str">
            <v xml:space="preserve">Open Plan Co business </v>
          </cell>
        </row>
        <row r="378">
          <cell r="I378" t="str">
            <v>NHC 000279</v>
          </cell>
          <cell r="J378" t="str">
            <v>Property, plant &amp; equipment, Movable assets, FURNITURE AND FITTINGS, Other Assets, Rhodes Chair Leather</v>
          </cell>
          <cell r="K378" t="str">
            <v>Rhodes Chair Leather</v>
          </cell>
          <cell r="N378">
            <v>1</v>
          </cell>
          <cell r="O378" t="str">
            <v>Main offices</v>
          </cell>
          <cell r="P378" t="str">
            <v xml:space="preserve">R28 </v>
          </cell>
        </row>
        <row r="379">
          <cell r="I379" t="str">
            <v>NHC000482</v>
          </cell>
          <cell r="J379" t="str">
            <v>Property, plant &amp; equipment, Movable assets, OFFICE EQUIPMENT AND TOOLS, Other Assets, Samsung Bar Fridge</v>
          </cell>
          <cell r="K379" t="str">
            <v>Samsung Bar Fridge</v>
          </cell>
          <cell r="N379">
            <v>1</v>
          </cell>
          <cell r="O379" t="str">
            <v>Main offices</v>
          </cell>
          <cell r="P379" t="str">
            <v>R28 Core business</v>
          </cell>
        </row>
        <row r="380">
          <cell r="I380" t="str">
            <v>NHC001541</v>
          </cell>
          <cell r="J380" t="str">
            <v>Property, plant &amp; equipment, Movable assets, COMPUTER EQUIPMENT, Other Assets, Laptop Dell Mobile Precision Workstation 3561 CTO</v>
          </cell>
          <cell r="K380" t="str">
            <v>Laptop Dell Mobile Precision Workstation 3561 CTO</v>
          </cell>
          <cell r="L380" t="str">
            <v>2rv6tl3q</v>
          </cell>
          <cell r="N380">
            <v>1</v>
          </cell>
          <cell r="O380" t="str">
            <v>Main offices</v>
          </cell>
          <cell r="P380" t="str">
            <v>R27 Core business</v>
          </cell>
        </row>
        <row r="381">
          <cell r="I381" t="str">
            <v>NHC000670</v>
          </cell>
          <cell r="J381" t="str">
            <v>Property, plant &amp; equipment, Movable assets, FURNITURE AND FITTINGS, Other Assets, CHAIR HIGHBACK LEATHER</v>
          </cell>
          <cell r="K381" t="str">
            <v>CHAIR HIGHBACK LEATHER</v>
          </cell>
          <cell r="N381">
            <v>1</v>
          </cell>
          <cell r="O381" t="str">
            <v>Main offices</v>
          </cell>
          <cell r="P381" t="str">
            <v xml:space="preserve">Open Plan Co business </v>
          </cell>
        </row>
        <row r="382">
          <cell r="I382" t="str">
            <v>NHC000295</v>
          </cell>
          <cell r="J382" t="str">
            <v>Property, plant &amp; equipment, Movable assets, FURNITURE AND FITTINGS, Other Assets, 3 Drawer Pedestal</v>
          </cell>
          <cell r="K382" t="str">
            <v>3 Drawer Pedestal</v>
          </cell>
          <cell r="N382">
            <v>1</v>
          </cell>
          <cell r="O382" t="str">
            <v>Main offices</v>
          </cell>
          <cell r="P382" t="str">
            <v>R27</v>
          </cell>
        </row>
        <row r="383">
          <cell r="I383" t="str">
            <v>NHC000512</v>
          </cell>
          <cell r="J383" t="str">
            <v>Property, plant &amp; equipment, Movable assets, FURNITURE AND FITTINGS, Other Assets, Single Pedestal Desk 1600 x 800</v>
          </cell>
          <cell r="K383" t="str">
            <v>Single Pedestal Desk 1600 x 800</v>
          </cell>
          <cell r="N383">
            <v>1</v>
          </cell>
          <cell r="O383" t="str">
            <v>Main offices</v>
          </cell>
          <cell r="P383" t="str">
            <v>R27</v>
          </cell>
        </row>
        <row r="384">
          <cell r="I384" t="str">
            <v>NHC000388</v>
          </cell>
          <cell r="J384" t="str">
            <v>Property, plant &amp; equipment, Movable assets, FURNITURE AND FITTINGS, Other Assets, Chair</v>
          </cell>
          <cell r="K384" t="str">
            <v>Chair</v>
          </cell>
          <cell r="N384">
            <v>1</v>
          </cell>
          <cell r="O384" t="str">
            <v>Main offices</v>
          </cell>
          <cell r="P384" t="str">
            <v>R27 Core business</v>
          </cell>
        </row>
        <row r="385">
          <cell r="I385" t="str">
            <v>NHC 000238</v>
          </cell>
          <cell r="J385" t="str">
            <v>Property, plant &amp; equipment, Movable assets, FURNITURE AND FITTINGS, Other Assets, 1500Systems Cabinet Mahogany Veneer</v>
          </cell>
          <cell r="K385" t="str">
            <v>1500Systems Cabinet Mahogany Veneer</v>
          </cell>
          <cell r="N385">
            <v>1</v>
          </cell>
          <cell r="O385" t="str">
            <v>Main offices</v>
          </cell>
          <cell r="P385" t="str">
            <v>R27</v>
          </cell>
        </row>
        <row r="386">
          <cell r="I386" t="str">
            <v>NHC 000237</v>
          </cell>
          <cell r="J386" t="str">
            <v>Property, plant &amp; equipment, Movable assets, FURNITURE AND FITTINGS, Other Assets, 1500 B/Case W/Glass Mahogany Veneer</v>
          </cell>
          <cell r="K386" t="str">
            <v>1500 B/Case W/Glass Mahogany Veneer</v>
          </cell>
          <cell r="N386">
            <v>1</v>
          </cell>
          <cell r="O386" t="str">
            <v>Main offices</v>
          </cell>
          <cell r="P386" t="str">
            <v>R27</v>
          </cell>
        </row>
        <row r="387">
          <cell r="I387" t="str">
            <v>NHC001542</v>
          </cell>
          <cell r="J387" t="str">
            <v>Property, plant &amp; equipment, Movable assets, COMPUTER EQUIPMENT, Other Assets, Laptop Dell Mobile Precision Workstation 3561 CTO</v>
          </cell>
          <cell r="K387" t="str">
            <v>Laptop Dell Mobile Precision Workstation 3561 CTO</v>
          </cell>
          <cell r="L387" t="str">
            <v>pesp 1542 nhc</v>
          </cell>
          <cell r="N387">
            <v>1</v>
          </cell>
          <cell r="O387" t="str">
            <v>Main offices</v>
          </cell>
          <cell r="P387" t="str">
            <v>R27 Core business</v>
          </cell>
        </row>
        <row r="388">
          <cell r="I388" t="str">
            <v>NHC001566</v>
          </cell>
          <cell r="J388" t="str">
            <v>Property, plant &amp; equipment, Movable assets, COMPUTER EQUIPMENT, Other Assets, Laptop Dell Mobile Precision Workstation 3561 CTO</v>
          </cell>
          <cell r="K388" t="str">
            <v>Laptop Dell Mobile Precision Workstation 3561 CTO</v>
          </cell>
          <cell r="L388" t="str">
            <v>JQV6TL3</v>
          </cell>
          <cell r="N388">
            <v>1</v>
          </cell>
          <cell r="O388" t="str">
            <v>Main offices</v>
          </cell>
          <cell r="P388" t="str">
            <v>Open plan co-Business</v>
          </cell>
        </row>
        <row r="389">
          <cell r="I389">
            <v>1231</v>
          </cell>
          <cell r="J389" t="str">
            <v>Property, plant &amp; equipment, Movable assets, FURNITURE AND FITTINGS, Other Assets, Mobile Pedestal</v>
          </cell>
          <cell r="K389" t="str">
            <v>Mobile Pedestal</v>
          </cell>
          <cell r="N389">
            <v>1</v>
          </cell>
          <cell r="O389" t="str">
            <v>Main offices</v>
          </cell>
          <cell r="P389" t="str">
            <v>Open Plan core business</v>
          </cell>
        </row>
        <row r="390">
          <cell r="I390" t="str">
            <v>NHC121</v>
          </cell>
          <cell r="J390" t="str">
            <v>Property, plant &amp; equipment, Movable assets, FURNITURE AND FITTINGS, Other Assets, Cabinet</v>
          </cell>
          <cell r="K390" t="str">
            <v>Cabinet</v>
          </cell>
          <cell r="N390">
            <v>1</v>
          </cell>
          <cell r="O390" t="str">
            <v>Main offices</v>
          </cell>
          <cell r="P390" t="str">
            <v>Open plan co-Business</v>
          </cell>
        </row>
        <row r="391">
          <cell r="I391" t="str">
            <v>NHC000857</v>
          </cell>
          <cell r="J391" t="str">
            <v>Property, plant &amp; equipment, Movable assets, FURNITURE AND FITTINGS, Other Assets, High Back Chair</v>
          </cell>
          <cell r="K391" t="str">
            <v>High Back Chair</v>
          </cell>
          <cell r="N391">
            <v>1</v>
          </cell>
          <cell r="O391" t="str">
            <v>Main offices</v>
          </cell>
          <cell r="P391" t="str">
            <v>Open Plan core business</v>
          </cell>
        </row>
        <row r="392">
          <cell r="I392" t="str">
            <v>NHC000387</v>
          </cell>
          <cell r="J392" t="str">
            <v>Property, plant &amp; equipment, Movable assets, FURNITURE AND FITTINGS, Other Assets, Desk</v>
          </cell>
          <cell r="K392" t="str">
            <v>Desk</v>
          </cell>
          <cell r="N392">
            <v>1</v>
          </cell>
          <cell r="O392" t="str">
            <v>Main offices</v>
          </cell>
          <cell r="P392" t="str">
            <v>Open plan co-Business</v>
          </cell>
        </row>
        <row r="393">
          <cell r="I393" t="str">
            <v>NHC001549</v>
          </cell>
          <cell r="J393" t="str">
            <v>Property, plant &amp; equipment, Movable assets, COMPUTER EQUIPMENT, Other Assets, Laptop Dell Mobile Precision Workstation 3561 CTO</v>
          </cell>
          <cell r="K393" t="str">
            <v>Laptop Dell Mobile Precision Workstation 3561 CTO</v>
          </cell>
          <cell r="L393" t="str">
            <v>1549-NHC</v>
          </cell>
          <cell r="N393">
            <v>1</v>
          </cell>
          <cell r="O393" t="str">
            <v>Main offices</v>
          </cell>
          <cell r="P393" t="str">
            <v>Open plan co-Business</v>
          </cell>
        </row>
        <row r="394">
          <cell r="I394">
            <v>1265</v>
          </cell>
          <cell r="J394" t="str">
            <v>Property, plant &amp; equipment, Movable assets, COMPUTER EQUIPMENT, Other Assets, Dell Laptop/CFO New</v>
          </cell>
          <cell r="K394" t="str">
            <v>Dell Laptop/CFO New</v>
          </cell>
          <cell r="N394">
            <v>1</v>
          </cell>
          <cell r="O394" t="str">
            <v>Main offices</v>
          </cell>
          <cell r="P394" t="str">
            <v xml:space="preserve">Open Plan Co business </v>
          </cell>
        </row>
        <row r="395">
          <cell r="I395">
            <v>1626</v>
          </cell>
          <cell r="J395" t="str">
            <v>Property, plant &amp; equipment, Movable assets, FURNITURE AND FITTINGS, Other Assets, Training Table</v>
          </cell>
          <cell r="K395" t="str">
            <v>Training Table</v>
          </cell>
          <cell r="N395">
            <v>1</v>
          </cell>
          <cell r="O395" t="str">
            <v>Main offices</v>
          </cell>
          <cell r="P395" t="str">
            <v>Open plan co-Business</v>
          </cell>
        </row>
        <row r="396">
          <cell r="I396" t="str">
            <v>NHC113</v>
          </cell>
          <cell r="J396" t="str">
            <v>Property, plant &amp; equipment, Movable assets, FURNITURE AND FITTINGS, Other Assets, 1800*600mm Extension</v>
          </cell>
          <cell r="K396" t="str">
            <v>1800*600mm Extension</v>
          </cell>
          <cell r="N396">
            <v>1</v>
          </cell>
          <cell r="O396" t="str">
            <v>Main offices</v>
          </cell>
          <cell r="P396" t="str">
            <v xml:space="preserve">Open Plan Co business </v>
          </cell>
        </row>
        <row r="397">
          <cell r="I397">
            <v>1137</v>
          </cell>
          <cell r="J397" t="str">
            <v>Property, plant &amp; equipment, Movable assets, FURNITURE AND FITTINGS, Other Assets, Rectangular Workshop/ Desk/Irreparable</v>
          </cell>
          <cell r="K397" t="str">
            <v>Rectangular Workshop/ Desk/Irreparable</v>
          </cell>
          <cell r="N397">
            <v>1</v>
          </cell>
          <cell r="O397" t="str">
            <v>Main offices</v>
          </cell>
          <cell r="P397" t="str">
            <v>Open plan co-Business</v>
          </cell>
        </row>
        <row r="398">
          <cell r="I398" t="str">
            <v>NHC000521</v>
          </cell>
          <cell r="J398" t="str">
            <v>Property, plant &amp; equipment, Movable assets, FURNITURE AND FITTINGS, Other Assets, Hinged Door Cabinet</v>
          </cell>
          <cell r="K398" t="str">
            <v>Hinged Door Cabinet</v>
          </cell>
          <cell r="N398">
            <v>1</v>
          </cell>
          <cell r="O398" t="str">
            <v>Main offices</v>
          </cell>
          <cell r="P398" t="str">
            <v xml:space="preserve">Open Plan Co business </v>
          </cell>
        </row>
        <row r="399">
          <cell r="I399" t="str">
            <v>NHC000695</v>
          </cell>
          <cell r="J399" t="str">
            <v>Property, plant &amp; equipment, Movable assets, FURNITURE AND FITTINGS, Other Assets, CHAIR HIGHBACK LEATHER</v>
          </cell>
          <cell r="K399" t="str">
            <v>CHAIR HIGHBACK LEATHER</v>
          </cell>
          <cell r="N399">
            <v>1</v>
          </cell>
          <cell r="O399" t="str">
            <v>Main offices</v>
          </cell>
          <cell r="P399" t="str">
            <v>Open Plan core business</v>
          </cell>
        </row>
        <row r="400">
          <cell r="I400" t="str">
            <v>NHC000692</v>
          </cell>
          <cell r="J400" t="str">
            <v>Property, plant &amp; equipment, Movable assets, FURNITURE AND FITTINGS, Other Assets, TABLE ROUND CONFERENCE</v>
          </cell>
          <cell r="K400" t="str">
            <v>TABLE ROUND CONFERENCE</v>
          </cell>
          <cell r="N400">
            <v>1</v>
          </cell>
          <cell r="O400" t="str">
            <v>Main offices</v>
          </cell>
          <cell r="P400" t="str">
            <v>R6 executive office</v>
          </cell>
        </row>
        <row r="401">
          <cell r="I401" t="str">
            <v>000671</v>
          </cell>
          <cell r="J401" t="str">
            <v>Property, plant &amp; equipment, Movable assets, FURNITURE AND FITTINGS, Other Assets, High Back leather chair black Armrest wheel</v>
          </cell>
          <cell r="K401" t="str">
            <v>High Back leather chair black Armrest wheel</v>
          </cell>
          <cell r="N401">
            <v>1</v>
          </cell>
          <cell r="O401" t="str">
            <v>Main offices</v>
          </cell>
          <cell r="P401" t="str">
            <v xml:space="preserve">R6 executive offices </v>
          </cell>
        </row>
        <row r="402">
          <cell r="I402" t="str">
            <v>NHC000396</v>
          </cell>
          <cell r="J402" t="str">
            <v>Property, plant &amp; equipment, Movable assets, FURNITURE AND FITTINGS, Other Assets, Desk</v>
          </cell>
          <cell r="K402" t="str">
            <v>Desk</v>
          </cell>
          <cell r="N402">
            <v>1</v>
          </cell>
          <cell r="O402" t="str">
            <v>Main offices</v>
          </cell>
          <cell r="P402" t="str">
            <v xml:space="preserve">R6 executive offices </v>
          </cell>
        </row>
        <row r="403">
          <cell r="I403" t="str">
            <v>NHC 000278</v>
          </cell>
          <cell r="J403" t="str">
            <v>Property, plant &amp; equipment, Movable assets, FURNITURE AND FITTINGS, Other Assets, Rhodes Chair Leather</v>
          </cell>
          <cell r="K403" t="str">
            <v>Rhodes Chair Leather</v>
          </cell>
          <cell r="N403">
            <v>1</v>
          </cell>
          <cell r="O403" t="str">
            <v>Main offices</v>
          </cell>
          <cell r="P403" t="str">
            <v>R6 executive office</v>
          </cell>
        </row>
        <row r="404">
          <cell r="I404" t="str">
            <v>NHC 000284</v>
          </cell>
          <cell r="J404" t="str">
            <v>Property, plant &amp; equipment, Movable assets, FURNITURE AND FITTINGS, Other Assets, Rhodes Chair Leather</v>
          </cell>
          <cell r="K404" t="str">
            <v>Rhodes Chair Leather</v>
          </cell>
          <cell r="N404">
            <v>1</v>
          </cell>
          <cell r="O404" t="str">
            <v>Main offices</v>
          </cell>
          <cell r="P404" t="str">
            <v xml:space="preserve">R6 executive offices </v>
          </cell>
        </row>
        <row r="405">
          <cell r="I405">
            <v>1134</v>
          </cell>
          <cell r="J405" t="str">
            <v>Property, plant &amp; equipment, Movable assets, FURNITURE AND FITTINGS, Other Assets, Rectangular Workshop/ Desk</v>
          </cell>
          <cell r="K405" t="str">
            <v>Rectangular Workshop/ Desk</v>
          </cell>
          <cell r="N405">
            <v>1</v>
          </cell>
          <cell r="O405" t="str">
            <v>Main offices</v>
          </cell>
          <cell r="P405" t="str">
            <v>R8 Executive Office</v>
          </cell>
        </row>
        <row r="406">
          <cell r="I406" t="str">
            <v>NHC123</v>
          </cell>
          <cell r="J406" t="str">
            <v>Property, plant &amp; equipment, Movable assets, FURNITURE AND FITTINGS, Other Assets, 1500*750mm Reception desk with Modesty panel</v>
          </cell>
          <cell r="K406" t="str">
            <v>1500*750mm Reception desk with Modesty panel</v>
          </cell>
          <cell r="N406">
            <v>1</v>
          </cell>
          <cell r="O406" t="str">
            <v>Main offices</v>
          </cell>
          <cell r="P406" t="str">
            <v>R8 executive office</v>
          </cell>
        </row>
        <row r="407">
          <cell r="I407">
            <v>1634</v>
          </cell>
          <cell r="J407" t="str">
            <v>Property, plant &amp; equipment, Movable assets, FURNITURE AND FITTINGS, Other Assets, Black chair Ativo</v>
          </cell>
          <cell r="K407" t="str">
            <v>Black chair Ativo</v>
          </cell>
          <cell r="N407">
            <v>1</v>
          </cell>
          <cell r="O407" t="str">
            <v>Main offices</v>
          </cell>
          <cell r="P407" t="str">
            <v xml:space="preserve">R8 executive offices </v>
          </cell>
        </row>
        <row r="408">
          <cell r="I408">
            <v>1207</v>
          </cell>
          <cell r="J408" t="str">
            <v>Property, plant &amp; equipment, Movable assets, FURNITURE AND FITTINGS, Other Assets, Chair/ Light Green</v>
          </cell>
          <cell r="K408" t="str">
            <v>Chair/ Light Green</v>
          </cell>
          <cell r="N408">
            <v>1</v>
          </cell>
          <cell r="O408" t="str">
            <v>Main offices</v>
          </cell>
          <cell r="P408" t="str">
            <v>R8 Executive Office</v>
          </cell>
        </row>
        <row r="409">
          <cell r="I409" t="str">
            <v>NHC129</v>
          </cell>
          <cell r="J409" t="str">
            <v>Property, plant &amp; equipment, Movable assets, FURNITURE AND FITTINGS, Other Assets, Traditional Cane Chair</v>
          </cell>
          <cell r="K409" t="str">
            <v>Traditional Cane Chair</v>
          </cell>
          <cell r="N409">
            <v>1</v>
          </cell>
          <cell r="O409" t="str">
            <v>Main offices</v>
          </cell>
          <cell r="P409" t="str">
            <v>R8 executive office</v>
          </cell>
        </row>
        <row r="410">
          <cell r="I410" t="str">
            <v>NHC000289</v>
          </cell>
          <cell r="J410" t="str">
            <v>Property, plant &amp; equipment, Movable assets, FURNITURE AND FITTINGS, Other Assets, Cabinet</v>
          </cell>
          <cell r="K410" t="str">
            <v>Cabinet</v>
          </cell>
          <cell r="N410">
            <v>1</v>
          </cell>
          <cell r="O410" t="str">
            <v>Main offices</v>
          </cell>
          <cell r="P410" t="str">
            <v>R8 executive office</v>
          </cell>
        </row>
        <row r="411">
          <cell r="I411" t="str">
            <v>NHC128</v>
          </cell>
          <cell r="J411" t="str">
            <v>Property, plant &amp; equipment, Movable assets, FURNITURE AND FITTINGS, Other Assets, Traditional Cane Chair</v>
          </cell>
          <cell r="K411" t="str">
            <v>Traditional Cane Chair</v>
          </cell>
          <cell r="N411">
            <v>1</v>
          </cell>
          <cell r="O411" t="str">
            <v>Main offices</v>
          </cell>
          <cell r="P411" t="str">
            <v>R8 Executive Office</v>
          </cell>
        </row>
        <row r="412">
          <cell r="I412" t="str">
            <v>NHC 000247</v>
          </cell>
          <cell r="J412" t="str">
            <v>Property, plant &amp; equipment, Movable assets, FURNITURE AND FITTINGS, Other Assets, 1500 B/Case W/Glass Mahogany Veneer</v>
          </cell>
          <cell r="K412" t="str">
            <v>1500 B/Case W/Glass Mahogany Veneer</v>
          </cell>
          <cell r="N412">
            <v>1</v>
          </cell>
          <cell r="O412" t="str">
            <v>Main offices</v>
          </cell>
          <cell r="P412" t="str">
            <v>R8 Executive Office</v>
          </cell>
        </row>
        <row r="413">
          <cell r="I413" t="str">
            <v>NHC000483</v>
          </cell>
          <cell r="J413" t="str">
            <v>Property, plant &amp; equipment, Movable assets, OFFICE EQUIPMENT AND TOOLS, Other Assets, Samsung Bar Fridge</v>
          </cell>
          <cell r="K413" t="str">
            <v>Samsung Bar Fridge</v>
          </cell>
          <cell r="N413">
            <v>1</v>
          </cell>
          <cell r="O413" t="str">
            <v>Main offices</v>
          </cell>
          <cell r="P413" t="str">
            <v>R8 executive office</v>
          </cell>
        </row>
        <row r="414">
          <cell r="I414" t="str">
            <v>NHC001022</v>
          </cell>
          <cell r="J414" t="str">
            <v>Property, plant &amp; equipment, Movable assets, FURNITURE AND FITTINGS, Other Assets, 1800*900mm partner desk</v>
          </cell>
          <cell r="K414" t="str">
            <v>Zeus dark wood desk 1600mmx800</v>
          </cell>
          <cell r="N414">
            <v>1</v>
          </cell>
          <cell r="O414" t="str">
            <v>Main offices</v>
          </cell>
          <cell r="P414" t="str">
            <v xml:space="preserve">R9 executive offices </v>
          </cell>
        </row>
        <row r="415">
          <cell r="I415" t="str">
            <v>NHC 000216</v>
          </cell>
          <cell r="J415" t="str">
            <v>Property, plant &amp; equipment, Movable assets, FURNITURE AND FITTINGS, Other Assets, 1500B/Case W/Glass door mahogany Veneer</v>
          </cell>
          <cell r="K415" t="str">
            <v>1500B/Case W/Glass door mahogany Veneer</v>
          </cell>
          <cell r="N415">
            <v>1</v>
          </cell>
          <cell r="O415" t="str">
            <v>Main offices</v>
          </cell>
          <cell r="P415" t="str">
            <v>R9 executive office</v>
          </cell>
        </row>
        <row r="416">
          <cell r="I416">
            <v>1612</v>
          </cell>
          <cell r="J416" t="str">
            <v>Property, plant &amp; equipment, Movable assets, FURNITURE AND FITTINGS, Other Assets, Black chair Ativo</v>
          </cell>
          <cell r="K416" t="str">
            <v>Black chair Ativo</v>
          </cell>
          <cell r="N416">
            <v>1</v>
          </cell>
          <cell r="O416" t="str">
            <v>Main offices</v>
          </cell>
          <cell r="P416" t="str">
            <v xml:space="preserve">R9 executive offices </v>
          </cell>
        </row>
        <row r="417">
          <cell r="I417">
            <v>1115</v>
          </cell>
          <cell r="J417" t="str">
            <v>Property, plant &amp; equipment, Movable assets, FURNITURE AND FITTINGS, Other Assets, Bus Class Visitors Chair</v>
          </cell>
          <cell r="K417" t="str">
            <v>Bus Class Visitors Chair</v>
          </cell>
          <cell r="N417">
            <v>1</v>
          </cell>
          <cell r="O417" t="str">
            <v>Main offices</v>
          </cell>
          <cell r="P417" t="str">
            <v>R9 executive office</v>
          </cell>
        </row>
        <row r="418">
          <cell r="I418" t="str">
            <v>NHC143</v>
          </cell>
          <cell r="J418" t="str">
            <v>Property, plant &amp; equipment, Movable assets, FURNITURE AND FITTINGS, Other Assets, Coat Hanger</v>
          </cell>
          <cell r="K418" t="str">
            <v>Coat Hanger</v>
          </cell>
          <cell r="N418">
            <v>1</v>
          </cell>
          <cell r="O418" t="str">
            <v>Main offices</v>
          </cell>
          <cell r="P418" t="str">
            <v xml:space="preserve">R9 executive offices </v>
          </cell>
        </row>
        <row r="419">
          <cell r="I419" t="str">
            <v>NHC000852</v>
          </cell>
          <cell r="J419" t="str">
            <v>Property, plant &amp; equipment, Movable assets, OFFICE EQUIPMENT AND TOOLS, Other Assets, Shredder</v>
          </cell>
          <cell r="K419" t="str">
            <v>Shredder</v>
          </cell>
          <cell r="N419">
            <v>1</v>
          </cell>
          <cell r="O419" t="str">
            <v>Main offices</v>
          </cell>
          <cell r="P419" t="str">
            <v xml:space="preserve">R10 executive offices </v>
          </cell>
        </row>
        <row r="420">
          <cell r="I420" t="str">
            <v>NHC 000561</v>
          </cell>
          <cell r="J420" t="str">
            <v>Property, plant &amp; equipment, Movable assets, FURNITURE AND FITTINGS, Other Assets, Systems Cabinet</v>
          </cell>
          <cell r="K420" t="str">
            <v>Systems Cabinet</v>
          </cell>
          <cell r="N420">
            <v>1</v>
          </cell>
          <cell r="O420" t="str">
            <v>Main offices</v>
          </cell>
          <cell r="P420" t="str">
            <v>R10 executive office</v>
          </cell>
        </row>
        <row r="421">
          <cell r="I421" t="str">
            <v>NHC122</v>
          </cell>
          <cell r="J421" t="str">
            <v>Property, plant &amp; equipment, Movable assets, FURNITURE AND FITTINGS, Other Assets, Cabinet</v>
          </cell>
          <cell r="K421" t="str">
            <v>Cabinet</v>
          </cell>
          <cell r="N421">
            <v>1</v>
          </cell>
          <cell r="O421" t="str">
            <v>Main offices</v>
          </cell>
          <cell r="P421" t="str">
            <v xml:space="preserve">R10 executive offices </v>
          </cell>
        </row>
        <row r="422">
          <cell r="I422" t="str">
            <v>NHC103</v>
          </cell>
          <cell r="J422" t="str">
            <v>Property, plant &amp; equipment, Movable assets, FURNITURE AND FITTINGS, Other Assets, 3drawer Pedestal</v>
          </cell>
          <cell r="K422" t="str">
            <v>3drawer Pedestal</v>
          </cell>
          <cell r="N422">
            <v>1</v>
          </cell>
          <cell r="O422" t="str">
            <v>Main offices</v>
          </cell>
          <cell r="P422" t="str">
            <v>R10 executive office</v>
          </cell>
        </row>
        <row r="423">
          <cell r="I423">
            <v>1192</v>
          </cell>
          <cell r="J423" t="str">
            <v>Property, plant &amp; equipment, Movable assets, FURNITURE AND FITTINGS, Other Assets, Rhodes Chair leather Armrest brown</v>
          </cell>
          <cell r="K423" t="str">
            <v xml:space="preserve">Rhodes Chair leather Armrest brown </v>
          </cell>
          <cell r="N423">
            <v>1</v>
          </cell>
          <cell r="O423" t="str">
            <v>Main offices</v>
          </cell>
          <cell r="P423" t="str">
            <v xml:space="preserve">R10 executive offices </v>
          </cell>
        </row>
        <row r="424">
          <cell r="I424" t="str">
            <v>NHC 000273</v>
          </cell>
          <cell r="J424" t="str">
            <v>Property, plant &amp; equipment, Movable assets, FURNITURE AND FITTINGS, Other Assets, Rhodes Chair Leather</v>
          </cell>
          <cell r="K424" t="str">
            <v>Rhodes Chair Leather</v>
          </cell>
          <cell r="N424">
            <v>1</v>
          </cell>
          <cell r="O424" t="str">
            <v>Main offices</v>
          </cell>
          <cell r="P424" t="str">
            <v>R10 Executive Office</v>
          </cell>
        </row>
        <row r="425">
          <cell r="I425" t="str">
            <v>NHC 000275</v>
          </cell>
          <cell r="J425" t="str">
            <v>Property, plant &amp; equipment, Movable assets, FURNITURE AND FITTINGS, Other Assets, Rhodes Chair Leather</v>
          </cell>
          <cell r="K425" t="str">
            <v>Rhodes Chair Leather</v>
          </cell>
          <cell r="N425">
            <v>1</v>
          </cell>
          <cell r="O425" t="str">
            <v>Main offices</v>
          </cell>
          <cell r="P425" t="str">
            <v xml:space="preserve">R10 executive offices </v>
          </cell>
        </row>
        <row r="426">
          <cell r="I426" t="str">
            <v>NHC000661</v>
          </cell>
          <cell r="J426" t="str">
            <v>Property, plant &amp; equipment, Movable assets, FURNITURE AND FITTINGS, Other Assets, CHAIR HIGHBACK LEATHER</v>
          </cell>
          <cell r="K426" t="str">
            <v>CHAIR HIGHBACK LEATHER</v>
          </cell>
          <cell r="N426">
            <v>1</v>
          </cell>
          <cell r="O426" t="str">
            <v>Main offices</v>
          </cell>
          <cell r="P426" t="str">
            <v>R10 executive office</v>
          </cell>
        </row>
        <row r="427">
          <cell r="I427" t="str">
            <v>NHC 000260</v>
          </cell>
          <cell r="J427" t="str">
            <v>Property, plant &amp; equipment, Movable assets, FURNITURE AND FITTINGS, Other Assets, 1500Systems Cabinet Mahogany Veneer</v>
          </cell>
          <cell r="K427" t="str">
            <v>1500Systems Cabinet Mahogany Veneer</v>
          </cell>
          <cell r="N427">
            <v>1</v>
          </cell>
          <cell r="O427" t="str">
            <v>Main offices</v>
          </cell>
          <cell r="P427" t="str">
            <v>R10 Executive Office</v>
          </cell>
        </row>
        <row r="428">
          <cell r="I428">
            <v>1118</v>
          </cell>
          <cell r="J428" t="str">
            <v>Property, plant &amp; equipment, Movable assets, FURNITURE AND FITTINGS, Other Assets, L-Extension/Desk H Pedestal/ Credenza</v>
          </cell>
          <cell r="K428" t="str">
            <v>L-Extension/Desk H Pedestal/ Credenza</v>
          </cell>
          <cell r="N428">
            <v>1</v>
          </cell>
          <cell r="O428" t="str">
            <v>Main offices</v>
          </cell>
          <cell r="P428" t="str">
            <v xml:space="preserve">R15 executive offices </v>
          </cell>
        </row>
        <row r="429">
          <cell r="I429" t="str">
            <v>NHC 000223</v>
          </cell>
          <cell r="J429" t="str">
            <v>Property, plant &amp; equipment, Movable assets, FURNITURE AND FITTINGS, Other Assets, Visitors chair Leather</v>
          </cell>
          <cell r="K429" t="str">
            <v>Visitors chair Leather</v>
          </cell>
          <cell r="N429">
            <v>1</v>
          </cell>
          <cell r="O429" t="str">
            <v>Main offices</v>
          </cell>
          <cell r="P429" t="str">
            <v xml:space="preserve">R15 executive offices </v>
          </cell>
        </row>
        <row r="430">
          <cell r="I430">
            <v>1117</v>
          </cell>
          <cell r="J430" t="str">
            <v>Property, plant &amp; equipment, Movable assets, FURNITURE AND FITTINGS, Other Assets, Executive Desk</v>
          </cell>
          <cell r="K430" t="str">
            <v>Executive Desk</v>
          </cell>
          <cell r="N430">
            <v>1</v>
          </cell>
          <cell r="O430" t="str">
            <v>Main offices</v>
          </cell>
          <cell r="P430" t="str">
            <v xml:space="preserve">R15 executive offices </v>
          </cell>
        </row>
        <row r="431">
          <cell r="I431" t="str">
            <v>NHC 000266</v>
          </cell>
          <cell r="J431" t="str">
            <v>Property, plant &amp; equipment, Movable assets, FURNITURE AND FITTINGS, Other Assets, Visitors chair Leather</v>
          </cell>
          <cell r="K431" t="str">
            <v>Visitors chair Leather</v>
          </cell>
          <cell r="N431">
            <v>1</v>
          </cell>
          <cell r="O431" t="str">
            <v>Main offices</v>
          </cell>
          <cell r="P431" t="str">
            <v>R15 executive office</v>
          </cell>
        </row>
        <row r="432">
          <cell r="I432">
            <v>1120</v>
          </cell>
          <cell r="J432" t="str">
            <v>Property, plant &amp; equipment, Movable assets, FURNITURE AND FITTINGS, Other Assets, Focus Display Unit</v>
          </cell>
          <cell r="K432" t="str">
            <v>Focus Display Unit</v>
          </cell>
          <cell r="N432">
            <v>1</v>
          </cell>
          <cell r="O432" t="str">
            <v>Main offices</v>
          </cell>
          <cell r="P432" t="str">
            <v xml:space="preserve">R15 executive offices </v>
          </cell>
        </row>
        <row r="433">
          <cell r="I433">
            <v>1129</v>
          </cell>
          <cell r="J433" t="str">
            <v>Property, plant &amp; equipment, Movable assets, FURNITURE AND FITTINGS, Other Assets, Rectangular Workshop/ Desk</v>
          </cell>
          <cell r="K433" t="str">
            <v>Rectangular Workshop/ Desk</v>
          </cell>
          <cell r="N433">
            <v>1</v>
          </cell>
          <cell r="O433" t="str">
            <v>Main offices</v>
          </cell>
          <cell r="P433" t="str">
            <v xml:space="preserve">R15 executive offices </v>
          </cell>
        </row>
        <row r="434">
          <cell r="I434" t="str">
            <v>NHC 000551</v>
          </cell>
          <cell r="J434" t="str">
            <v>Property, plant &amp; equipment, Movable assets, FURNITURE AND FITTINGS, Other Assets, Hinged Door Cabinet</v>
          </cell>
          <cell r="K434" t="str">
            <v>Hinged Door Cabinet</v>
          </cell>
          <cell r="N434">
            <v>1</v>
          </cell>
          <cell r="O434" t="str">
            <v>Main offices</v>
          </cell>
          <cell r="P434" t="str">
            <v xml:space="preserve">R15 executive offices </v>
          </cell>
        </row>
        <row r="435">
          <cell r="I435" t="str">
            <v>NHC 000262</v>
          </cell>
          <cell r="J435" t="str">
            <v>Property, plant &amp; equipment, Movable assets, FURNITURE AND FITTINGS, Other Assets, Visitors chair Leather</v>
          </cell>
          <cell r="K435" t="str">
            <v>Visitors chair Leather</v>
          </cell>
          <cell r="N435">
            <v>1</v>
          </cell>
          <cell r="O435" t="str">
            <v>Main offices</v>
          </cell>
          <cell r="P435" t="str">
            <v>R15 executive office</v>
          </cell>
        </row>
        <row r="436">
          <cell r="I436" t="str">
            <v>NHC 000255</v>
          </cell>
          <cell r="J436" t="str">
            <v>Property, plant &amp; equipment, Movable assets, FURNITURE AND FITTINGS, Other Assets, Visitors chair Leather</v>
          </cell>
          <cell r="K436" t="str">
            <v>Visitors chair Leather</v>
          </cell>
          <cell r="N436">
            <v>1</v>
          </cell>
          <cell r="O436" t="str">
            <v>Main offices</v>
          </cell>
          <cell r="P436" t="str">
            <v>R15 executive office</v>
          </cell>
        </row>
        <row r="437">
          <cell r="I437" t="str">
            <v>NHC000354</v>
          </cell>
          <cell r="J437" t="str">
            <v>Property, plant &amp; equipment, Movable assets, FURNITURE AND FITTINGS, Other Assets, Side Lamp Shade &amp; Stand</v>
          </cell>
          <cell r="K437" t="str">
            <v>Side Lamp Shade &amp; Stand</v>
          </cell>
          <cell r="N437">
            <v>1</v>
          </cell>
          <cell r="O437" t="str">
            <v>Main offices</v>
          </cell>
          <cell r="P437" t="str">
            <v>R13 CEO Office</v>
          </cell>
        </row>
        <row r="438">
          <cell r="I438" t="str">
            <v>NHC 000320</v>
          </cell>
          <cell r="J438" t="str">
            <v>Property, plant &amp; equipment, Movable assets, FURNITURE AND FITTINGS, Other Assets, Artifacts</v>
          </cell>
          <cell r="K438" t="str">
            <v>Artifacts</v>
          </cell>
          <cell r="N438">
            <v>1</v>
          </cell>
          <cell r="O438" t="str">
            <v>Main offices</v>
          </cell>
          <cell r="P438" t="str">
            <v xml:space="preserve">R13 ceo office </v>
          </cell>
        </row>
        <row r="439">
          <cell r="I439" t="str">
            <v>NHC 000319</v>
          </cell>
          <cell r="J439" t="str">
            <v>Property, plant &amp; equipment, Movable assets, FURNITURE AND FITTINGS, Other Assets, Artifacts</v>
          </cell>
          <cell r="K439" t="str">
            <v>Artifacts</v>
          </cell>
          <cell r="N439">
            <v>1</v>
          </cell>
          <cell r="O439" t="str">
            <v>Main offices</v>
          </cell>
          <cell r="P439" t="str">
            <v>R13 CEO Offce</v>
          </cell>
        </row>
        <row r="440">
          <cell r="I440" t="str">
            <v>NHC 000244</v>
          </cell>
          <cell r="J440" t="str">
            <v>Property, plant &amp; equipment, Movable assets, FURNITURE AND FITTINGS, Other Assets, 1500 B/Case W/Glass Mahogany Veneer</v>
          </cell>
          <cell r="K440" t="str">
            <v>1500 B/Case W/Glass Mahogany Veneer</v>
          </cell>
          <cell r="N440">
            <v>1</v>
          </cell>
          <cell r="O440" t="str">
            <v>Main offices</v>
          </cell>
          <cell r="P440" t="str">
            <v>R13 CEO Office</v>
          </cell>
        </row>
        <row r="441">
          <cell r="I441" t="str">
            <v>NHC 000419</v>
          </cell>
          <cell r="J441" t="str">
            <v>Property, plant &amp; equipment, Movable assets, FURNITURE AND FITTINGS, Other Assets, Vase with Silk Flower Arrangement</v>
          </cell>
          <cell r="K441" t="str">
            <v>Vase with Silk Flower Arrangement</v>
          </cell>
          <cell r="N441">
            <v>1</v>
          </cell>
          <cell r="O441" t="str">
            <v>Main offices</v>
          </cell>
          <cell r="P441" t="str">
            <v>R13 CEO Offce</v>
          </cell>
        </row>
        <row r="442">
          <cell r="I442" t="str">
            <v>NHC166</v>
          </cell>
          <cell r="J442" t="str">
            <v>Property, plant &amp; equipment, Movable assets, FURNITURE AND FITTINGS, Other Assets, Rhodes Executive Swivel Chair-Antique leather</v>
          </cell>
          <cell r="K442" t="str">
            <v>Rhodes Executive Swivel Chair-Antique leather</v>
          </cell>
          <cell r="N442">
            <v>1</v>
          </cell>
          <cell r="O442" t="str">
            <v>Main offices</v>
          </cell>
          <cell r="P442" t="str">
            <v>R13 CEO Offce</v>
          </cell>
        </row>
        <row r="443">
          <cell r="I443">
            <v>1029</v>
          </cell>
          <cell r="J443" t="str">
            <v>Property, plant &amp; equipment, Movable assets, FURNITURE AND FITTINGS, Other Assets, Mini Couch 4 Leg</v>
          </cell>
          <cell r="K443" t="str">
            <v>Mini Couch 4 Leg</v>
          </cell>
          <cell r="N443">
            <v>1</v>
          </cell>
          <cell r="O443" t="str">
            <v>Main offices</v>
          </cell>
          <cell r="P443" t="str">
            <v>R13 CEO Offce</v>
          </cell>
        </row>
        <row r="444">
          <cell r="I444" t="str">
            <v>000074</v>
          </cell>
          <cell r="J444" t="str">
            <v>Property, plant &amp; equipment, Movable assets, FURNITURE AND FITTINGS, Other Assets, 3 Drawer Pedestal</v>
          </cell>
          <cell r="K444" t="str">
            <v>3 Drawer Pedestal</v>
          </cell>
          <cell r="N444">
            <v>1</v>
          </cell>
          <cell r="O444" t="str">
            <v>Main offices</v>
          </cell>
          <cell r="P444" t="str">
            <v>R13 CEO Office</v>
          </cell>
        </row>
        <row r="445">
          <cell r="I445" t="str">
            <v>NHC161</v>
          </cell>
          <cell r="J445" t="str">
            <v>Property, plant &amp; equipment, Movable assets, FURNITURE AND FITTINGS, Other Assets, Lampung double bookcase glass doors</v>
          </cell>
          <cell r="K445" t="str">
            <v>Lampung double bookcase glass doors</v>
          </cell>
          <cell r="N445">
            <v>1</v>
          </cell>
          <cell r="O445" t="str">
            <v>Main offices</v>
          </cell>
          <cell r="P445" t="str">
            <v>R13 CEO Offce</v>
          </cell>
        </row>
        <row r="446">
          <cell r="I446" t="str">
            <v>NHC 000324</v>
          </cell>
          <cell r="J446" t="str">
            <v>Property, plant &amp; equipment, Movable assets, FURNITURE AND FITTINGS, Other Assets, Potrait</v>
          </cell>
          <cell r="K446" t="str">
            <v>Potrait</v>
          </cell>
          <cell r="N446">
            <v>1</v>
          </cell>
          <cell r="O446" t="str">
            <v>Main offices</v>
          </cell>
          <cell r="P446" t="str">
            <v>R13 CEO Offce</v>
          </cell>
        </row>
        <row r="447">
          <cell r="I447" t="str">
            <v>NHC 000325</v>
          </cell>
          <cell r="J447" t="str">
            <v>Property, plant &amp; equipment, Movable assets, FURNITURE AND FITTINGS, Other Assets, Potrait</v>
          </cell>
          <cell r="K447" t="str">
            <v>Potrait</v>
          </cell>
          <cell r="N447">
            <v>1</v>
          </cell>
          <cell r="O447" t="str">
            <v>Main offices</v>
          </cell>
          <cell r="P447" t="str">
            <v>R13 CEO Offce</v>
          </cell>
        </row>
        <row r="448">
          <cell r="I448" t="str">
            <v>000157</v>
          </cell>
          <cell r="J448" t="str">
            <v>Property, plant &amp; equipment, Movable assets, FURNITURE AND FITTINGS, Other Assets, Rhodes Chair leather Armrest brown</v>
          </cell>
          <cell r="K448" t="str">
            <v xml:space="preserve">Rhodes Chair leather Armrest brown </v>
          </cell>
          <cell r="N448">
            <v>1</v>
          </cell>
          <cell r="O448" t="str">
            <v>Main offices</v>
          </cell>
          <cell r="P448" t="str">
            <v>R13 CEO Offce</v>
          </cell>
        </row>
        <row r="449">
          <cell r="I449" t="str">
            <v>NHC000890</v>
          </cell>
          <cell r="J449" t="str">
            <v>Property, plant &amp; equipment, Movable assets, FURNITURE AND FITTINGS, Other Assets, Wiston W/B Couch</v>
          </cell>
          <cell r="K449" t="str">
            <v>Wiston W/B Couch</v>
          </cell>
          <cell r="N449">
            <v>1</v>
          </cell>
          <cell r="O449" t="str">
            <v>Main offices</v>
          </cell>
          <cell r="P449" t="str">
            <v>R13 CEO Offce</v>
          </cell>
        </row>
        <row r="450">
          <cell r="I450" t="str">
            <v>NHC 000153</v>
          </cell>
          <cell r="J450" t="str">
            <v>Property, plant &amp; equipment, Movable assets, FURNITURE AND FITTINGS, Other Assets, Rhodes Chair Leather</v>
          </cell>
          <cell r="K450" t="str">
            <v>Rhodes Chair Leather</v>
          </cell>
          <cell r="N450">
            <v>1</v>
          </cell>
          <cell r="O450" t="str">
            <v>Main offices</v>
          </cell>
          <cell r="P450" t="str">
            <v>R13 CEO Offce</v>
          </cell>
        </row>
        <row r="451">
          <cell r="I451" t="str">
            <v>NHC159</v>
          </cell>
          <cell r="J451" t="str">
            <v>Property, plant &amp; equipment, Movable assets, FURNITURE AND FITTINGS, Other Assets, 2100*1200mm Partners desk</v>
          </cell>
          <cell r="K451" t="str">
            <v>2100*1200mm Partners desk</v>
          </cell>
          <cell r="N451">
            <v>1</v>
          </cell>
          <cell r="O451" t="str">
            <v>Main offices</v>
          </cell>
          <cell r="P451" t="str">
            <v>R13 CEO Offce</v>
          </cell>
        </row>
        <row r="452">
          <cell r="I452" t="str">
            <v>NHC 000240</v>
          </cell>
          <cell r="J452" t="str">
            <v>Property, plant &amp; equipment, Movable assets, FURNITURE AND FITTINGS, Other Assets, Rhodes Chair Leather</v>
          </cell>
          <cell r="K452" t="str">
            <v>Rhodes Chair Leather</v>
          </cell>
          <cell r="N452">
            <v>1</v>
          </cell>
          <cell r="O452" t="str">
            <v>Main offices</v>
          </cell>
          <cell r="P452" t="str">
            <v>R13 CEO Offce</v>
          </cell>
        </row>
        <row r="453">
          <cell r="I453" t="str">
            <v>NHC169</v>
          </cell>
          <cell r="J453" t="str">
            <v>Property, plant &amp; equipment, Movable assets, FURNITURE AND FITTINGS, Other Assets, Coat Hanger</v>
          </cell>
          <cell r="K453" t="str">
            <v>Coat Hanger</v>
          </cell>
          <cell r="N453">
            <v>1</v>
          </cell>
          <cell r="O453" t="str">
            <v>Main offices</v>
          </cell>
          <cell r="P453" t="str">
            <v xml:space="preserve">R13 ceo office </v>
          </cell>
        </row>
        <row r="454">
          <cell r="I454" t="str">
            <v>NHC000326</v>
          </cell>
          <cell r="J454" t="str">
            <v>Property, plant &amp; equipment, Movable assets, FURNITURE AND FITTINGS, Other Assets, Round Table</v>
          </cell>
          <cell r="K454" t="str">
            <v>Round Table</v>
          </cell>
          <cell r="N454">
            <v>1</v>
          </cell>
          <cell r="O454" t="str">
            <v>Main offices</v>
          </cell>
          <cell r="P454" t="str">
            <v>R13 CEO Offce</v>
          </cell>
        </row>
        <row r="455">
          <cell r="I455" t="str">
            <v>000155</v>
          </cell>
          <cell r="J455" t="str">
            <v>Property, plant &amp; equipment, Movable assets, FURNITURE AND FITTINGS, Other Assets, Rhodes Chair leather Armrest brown</v>
          </cell>
          <cell r="K455" t="str">
            <v xml:space="preserve">Rhodes Chair leather Armrest brown </v>
          </cell>
          <cell r="N455">
            <v>1</v>
          </cell>
          <cell r="O455" t="str">
            <v>Main offices</v>
          </cell>
          <cell r="P455" t="str">
            <v xml:space="preserve">R13 ceo office </v>
          </cell>
        </row>
        <row r="456">
          <cell r="I456" t="str">
            <v>NHC001599</v>
          </cell>
          <cell r="J456" t="str">
            <v>Property, plant &amp; equipment, Movable assets, COMPUTER EQUIPMENT, Other Assets, Laptop Dell Mobile Precision Workstation 3561 CTO</v>
          </cell>
          <cell r="K456" t="str">
            <v>Laptop Dell Mobile Precision Workstation 3561 CTO</v>
          </cell>
          <cell r="N456">
            <v>1</v>
          </cell>
          <cell r="O456" t="str">
            <v>Main offices</v>
          </cell>
          <cell r="P456" t="str">
            <v>R12 Executive Offices</v>
          </cell>
        </row>
        <row r="457">
          <cell r="I457" t="str">
            <v>NHC000378</v>
          </cell>
          <cell r="J457" t="str">
            <v>Property, plant &amp; equipment, Movable assets, FURNITURE AND FITTINGS, Other Assets, Mirror</v>
          </cell>
          <cell r="K457" t="str">
            <v>Mirror</v>
          </cell>
          <cell r="N457">
            <v>1</v>
          </cell>
          <cell r="O457" t="str">
            <v>Main offices</v>
          </cell>
          <cell r="P457" t="str">
            <v>R12 Executive Offices</v>
          </cell>
        </row>
        <row r="458">
          <cell r="I458" t="str">
            <v>NHC145</v>
          </cell>
          <cell r="J458" t="str">
            <v>Property, plant &amp; equipment, Movable assets, FURNITURE AND FITTINGS, Other Assets, Antique Butlers Tray</v>
          </cell>
          <cell r="K458" t="str">
            <v>Antique Butlers Tray</v>
          </cell>
          <cell r="N458">
            <v>1</v>
          </cell>
          <cell r="O458" t="str">
            <v>Main offices</v>
          </cell>
          <cell r="P458" t="str">
            <v>R13 ceo office</v>
          </cell>
        </row>
        <row r="459">
          <cell r="I459" t="str">
            <v>NHC000930</v>
          </cell>
          <cell r="J459" t="str">
            <v>Property, plant &amp; equipment, Movable assets, FURNITURE AND FITTINGS, Other Assets, High Street Visitors Chair Black Bonded Leather</v>
          </cell>
          <cell r="K459" t="str">
            <v>High Street Visitors Chair Black Bonded Leather</v>
          </cell>
          <cell r="N459">
            <v>1</v>
          </cell>
          <cell r="O459" t="str">
            <v>Main offices</v>
          </cell>
          <cell r="P459" t="str">
            <v>R5 executive office</v>
          </cell>
        </row>
        <row r="460">
          <cell r="I460" t="str">
            <v>NHC000400</v>
          </cell>
          <cell r="J460" t="str">
            <v>Property, plant &amp; equipment, Movable assets, FURNITURE AND FITTINGS, Other Assets, Traditional Desk</v>
          </cell>
          <cell r="K460" t="str">
            <v>Traditional Desk</v>
          </cell>
          <cell r="N460">
            <v>1</v>
          </cell>
          <cell r="O460" t="str">
            <v>Main offices</v>
          </cell>
          <cell r="P460" t="str">
            <v>R12 Executive Offices</v>
          </cell>
        </row>
        <row r="461">
          <cell r="I461" t="str">
            <v>NHC140</v>
          </cell>
          <cell r="J461" t="str">
            <v>Property, plant &amp; equipment, Movable assets, FURNITURE AND FITTINGS, Other Assets, Vesta Visitors Armchair, Leather***</v>
          </cell>
          <cell r="K461" t="str">
            <v>Vesta Visitors Armchair, Leather***</v>
          </cell>
          <cell r="N461">
            <v>1</v>
          </cell>
          <cell r="O461" t="str">
            <v>Main offices</v>
          </cell>
          <cell r="P461" t="str">
            <v>R5 executive office</v>
          </cell>
        </row>
        <row r="462">
          <cell r="I462" t="str">
            <v>NHC 000263</v>
          </cell>
          <cell r="J462" t="str">
            <v>Property, plant &amp; equipment, Movable assets, FURNITURE AND FITTINGS, Other Assets, Wall Unit 1900*1870 Mahogany Veneer</v>
          </cell>
          <cell r="K462" t="str">
            <v>Wall Unit 1900*1870 Mahogany Veneer</v>
          </cell>
          <cell r="N462">
            <v>1</v>
          </cell>
          <cell r="O462" t="str">
            <v>Main offices</v>
          </cell>
          <cell r="P462" t="str">
            <v>R12 Executive Offices</v>
          </cell>
        </row>
        <row r="463">
          <cell r="I463" t="str">
            <v>NHC133</v>
          </cell>
          <cell r="J463" t="str">
            <v>Property, plant &amp; equipment, Movable assets, FURNITURE AND FITTINGS, Other Assets, 1800*900mm Partners desk</v>
          </cell>
          <cell r="K463" t="str">
            <v>1800*900mm Partners desk</v>
          </cell>
          <cell r="N463">
            <v>1</v>
          </cell>
          <cell r="O463" t="str">
            <v>Main offices</v>
          </cell>
          <cell r="P463" t="str">
            <v>R5</v>
          </cell>
        </row>
        <row r="464">
          <cell r="I464" t="str">
            <v>NHC139</v>
          </cell>
          <cell r="J464" t="str">
            <v>Property, plant &amp; equipment, Movable assets, FURNITURE AND FITTINGS, Other Assets, Vesta Visitors Armchair, Leather</v>
          </cell>
          <cell r="K464" t="str">
            <v>Vesta Visitors Armchair, Leather</v>
          </cell>
          <cell r="N464">
            <v>1</v>
          </cell>
          <cell r="O464" t="str">
            <v>Main offices</v>
          </cell>
          <cell r="P464" t="str">
            <v xml:space="preserve">R5 </v>
          </cell>
        </row>
        <row r="465">
          <cell r="I465" t="str">
            <v>NHC 000056</v>
          </cell>
          <cell r="J465" t="str">
            <v>Property, plant &amp; equipment, Movable assets, FURNITURE AND FITTINGS, Other Assets, Visitor Chair</v>
          </cell>
          <cell r="K465" t="str">
            <v>Visitor Chair</v>
          </cell>
          <cell r="N465">
            <v>1</v>
          </cell>
          <cell r="O465" t="str">
            <v>Main offices</v>
          </cell>
          <cell r="P465" t="str">
            <v xml:space="preserve">R5 </v>
          </cell>
        </row>
        <row r="466">
          <cell r="I466" t="str">
            <v>NHC 000229</v>
          </cell>
          <cell r="J466" t="str">
            <v>Property, plant &amp; equipment, Movable assets, FURNITURE AND FITTINGS, Other Assets, 1500 BCase W/Glass door Mahogany Veneer</v>
          </cell>
          <cell r="K466" t="str">
            <v>1500 BCase W/Glass door Mahogany Veneer</v>
          </cell>
          <cell r="N466">
            <v>1</v>
          </cell>
          <cell r="O466" t="str">
            <v xml:space="preserve">Main office </v>
          </cell>
          <cell r="P466" t="str">
            <v xml:space="preserve">R5 </v>
          </cell>
        </row>
        <row r="467">
          <cell r="I467" t="str">
            <v>NHC000659</v>
          </cell>
          <cell r="J467" t="str">
            <v>Property, plant &amp; equipment, Movable assets, FURNITURE AND FITTINGS, Other Assets, CABINET DRAWER STEEL</v>
          </cell>
          <cell r="K467" t="str">
            <v>CABINET DRAWER STEEL</v>
          </cell>
          <cell r="N467">
            <v>1</v>
          </cell>
          <cell r="O467" t="str">
            <v>Main offices</v>
          </cell>
          <cell r="P467" t="str">
            <v>R5</v>
          </cell>
        </row>
        <row r="468">
          <cell r="I468" t="str">
            <v>NHC000357</v>
          </cell>
          <cell r="J468" t="str">
            <v>Property, plant &amp; equipment, Movable assets, FURNITURE AND FITTINGS, Other Assets, Artwork</v>
          </cell>
          <cell r="K468" t="str">
            <v>Artwork</v>
          </cell>
          <cell r="N468">
            <v>1</v>
          </cell>
          <cell r="O468" t="str">
            <v>Main offices</v>
          </cell>
          <cell r="P468" t="str">
            <v xml:space="preserve">R1 Main Reception </v>
          </cell>
        </row>
        <row r="469">
          <cell r="I469" t="str">
            <v>NHC001009</v>
          </cell>
          <cell r="J469" t="str">
            <v>Property, plant &amp; equipment, Movable assets, FURNITURE AND FITTINGS, Other Assets, Eez-Off Swivel Tub Chair</v>
          </cell>
          <cell r="K469" t="str">
            <v>Eez-Off Swivel Tub Chair</v>
          </cell>
          <cell r="N469">
            <v>1</v>
          </cell>
          <cell r="O469" t="str">
            <v>Main offices</v>
          </cell>
          <cell r="P469" t="str">
            <v>R1 Reception</v>
          </cell>
        </row>
        <row r="470">
          <cell r="I470" t="str">
            <v>NHC001008</v>
          </cell>
          <cell r="J470" t="str">
            <v>Property, plant &amp; equipment, Movable assets, FURNITURE AND FITTINGS, Other Assets, Eez-Off Swivel Tub Chair</v>
          </cell>
          <cell r="K470" t="str">
            <v>Eez-Off Swivel Tub Chair</v>
          </cell>
          <cell r="N470">
            <v>1</v>
          </cell>
          <cell r="O470" t="str">
            <v>Main offices</v>
          </cell>
          <cell r="P470" t="str">
            <v>R1 Reception</v>
          </cell>
        </row>
        <row r="471">
          <cell r="I471" t="str">
            <v>NHC000355</v>
          </cell>
          <cell r="J471" t="str">
            <v>Property, plant &amp; equipment, Movable assets, FURNITURE AND FITTINGS, Other Assets, Artwork</v>
          </cell>
          <cell r="K471" t="str">
            <v>Artwork</v>
          </cell>
          <cell r="N471">
            <v>1</v>
          </cell>
          <cell r="O471" t="str">
            <v>Main offices</v>
          </cell>
          <cell r="P471" t="str">
            <v xml:space="preserve">R1 Main Reception </v>
          </cell>
        </row>
        <row r="472">
          <cell r="I472" t="str">
            <v>NHC000356</v>
          </cell>
          <cell r="J472" t="str">
            <v>Property, plant &amp; equipment, Movable assets, FURNITURE AND FITTINGS, Other Assets, Artwork</v>
          </cell>
          <cell r="K472" t="str">
            <v>Artwork</v>
          </cell>
          <cell r="N472">
            <v>1</v>
          </cell>
          <cell r="O472" t="str">
            <v>Main offices</v>
          </cell>
          <cell r="P472" t="str">
            <v xml:space="preserve">R1 Main Reception </v>
          </cell>
        </row>
        <row r="473">
          <cell r="I473" t="str">
            <v>NHC000429</v>
          </cell>
          <cell r="J473" t="str">
            <v>Property, plant &amp; equipment, Movable assets, FURNITURE AND FITTINGS, Other Assets, Tender Box</v>
          </cell>
          <cell r="K473" t="str">
            <v>Tender Box</v>
          </cell>
          <cell r="N473">
            <v>1</v>
          </cell>
          <cell r="O473" t="str">
            <v>Main offices</v>
          </cell>
          <cell r="P473" t="str">
            <v xml:space="preserve">R1 Main Reception </v>
          </cell>
        </row>
        <row r="474">
          <cell r="I474" t="str">
            <v>NHC 000274</v>
          </cell>
          <cell r="J474" t="str">
            <v>Property, plant &amp; equipment, Movable assets, FURNITURE AND FITTINGS, Other Assets, Rhodes Chair Leather</v>
          </cell>
          <cell r="K474" t="str">
            <v>Rhodes Chair Leather</v>
          </cell>
          <cell r="N474">
            <v>1</v>
          </cell>
          <cell r="O474" t="str">
            <v>Main offices</v>
          </cell>
          <cell r="P474" t="str">
            <v xml:space="preserve">R11 executive boardroom </v>
          </cell>
        </row>
        <row r="475">
          <cell r="I475" t="str">
            <v>NHC000514</v>
          </cell>
          <cell r="J475" t="str">
            <v>Property, plant &amp; equipment, Movable assets, FURNITURE AND FITTINGS, Other Assets, Hinged Door Cabinet</v>
          </cell>
          <cell r="K475" t="str">
            <v>Hinged Door Cabinet</v>
          </cell>
          <cell r="N475">
            <v>1</v>
          </cell>
          <cell r="O475" t="str">
            <v>Main offices</v>
          </cell>
          <cell r="P475" t="str">
            <v>R11 executive board room</v>
          </cell>
        </row>
        <row r="476">
          <cell r="I476" t="str">
            <v>NHC 000268</v>
          </cell>
          <cell r="J476" t="str">
            <v>Property, plant &amp; equipment, Movable assets, FURNITURE AND FITTINGS, Other Assets, Rhodes Chair Leather</v>
          </cell>
          <cell r="K476" t="str">
            <v>Rhodes Chair Leather</v>
          </cell>
          <cell r="N476">
            <v>1</v>
          </cell>
          <cell r="O476" t="str">
            <v>Main offices</v>
          </cell>
          <cell r="P476" t="str">
            <v xml:space="preserve">R11 executive boardroom </v>
          </cell>
        </row>
        <row r="477">
          <cell r="I477" t="str">
            <v>NHC 000282</v>
          </cell>
          <cell r="J477" t="str">
            <v>Property, plant &amp; equipment, Movable assets, FURNITURE AND FITTINGS, Other Assets, Rhodes Chair Leather</v>
          </cell>
          <cell r="K477" t="str">
            <v>Rhodes Chair Leather</v>
          </cell>
          <cell r="N477">
            <v>1</v>
          </cell>
          <cell r="O477" t="str">
            <v>Main offices</v>
          </cell>
          <cell r="P477" t="str">
            <v>R11 executive board room</v>
          </cell>
        </row>
        <row r="478">
          <cell r="I478" t="str">
            <v>NHC 000264</v>
          </cell>
          <cell r="J478" t="str">
            <v>Property, plant &amp; equipment, Movable assets, FURNITURE AND FITTINGS, Other Assets, 20 Seater B/Room Table Mahogany Veneer</v>
          </cell>
          <cell r="K478" t="str">
            <v>20 Seater B/Room Table Mahogany Veneer</v>
          </cell>
          <cell r="N478">
            <v>1</v>
          </cell>
          <cell r="O478" t="str">
            <v>Main offices</v>
          </cell>
          <cell r="P478" t="str">
            <v xml:space="preserve">R11 executive boardroom </v>
          </cell>
        </row>
        <row r="479">
          <cell r="I479" t="str">
            <v>NHC 000269</v>
          </cell>
          <cell r="J479" t="str">
            <v>Property, plant &amp; equipment, Movable assets, FURNITURE AND FITTINGS, Other Assets, Rhodes Chair Leather</v>
          </cell>
          <cell r="K479" t="str">
            <v>Rhodes Chair Leather</v>
          </cell>
          <cell r="N479">
            <v>1</v>
          </cell>
          <cell r="O479" t="str">
            <v>Main offices</v>
          </cell>
          <cell r="P479" t="str">
            <v xml:space="preserve">R11 executive boardroom </v>
          </cell>
        </row>
        <row r="480">
          <cell r="I480" t="str">
            <v>000156</v>
          </cell>
          <cell r="J480" t="str">
            <v>Property, plant &amp; equipment, Movable assets, FURNITURE AND FITTINGS, Other Assets, Rhodes Chair leather Armrest brown</v>
          </cell>
          <cell r="K480" t="str">
            <v xml:space="preserve">Rhodes Chair leather Armrest brown </v>
          </cell>
          <cell r="N480">
            <v>1</v>
          </cell>
          <cell r="O480" t="str">
            <v>Main offices</v>
          </cell>
          <cell r="P480" t="str">
            <v>R11 executive boardroom</v>
          </cell>
        </row>
        <row r="481">
          <cell r="I481" t="str">
            <v>NHC 000241</v>
          </cell>
          <cell r="J481" t="str">
            <v>Property, plant &amp; equipment, Movable assets, FURNITURE AND FITTINGS, Other Assets, Rhodes Chair Leather</v>
          </cell>
          <cell r="K481" t="str">
            <v>Rhodes Chair Leather</v>
          </cell>
          <cell r="N481">
            <v>1</v>
          </cell>
          <cell r="O481" t="str">
            <v>Main offices</v>
          </cell>
          <cell r="P481" t="str">
            <v>R11 executive board room</v>
          </cell>
        </row>
        <row r="482">
          <cell r="I482" t="str">
            <v>NHC000351</v>
          </cell>
          <cell r="J482" t="str">
            <v>Property, plant &amp; equipment, Movable assets, FURNITURE AND FITTINGS, Other Assets, NHC Pot with Reeds</v>
          </cell>
          <cell r="K482" t="str">
            <v>NHC Pot with Reeds</v>
          </cell>
          <cell r="N482">
            <v>1</v>
          </cell>
          <cell r="O482" t="str">
            <v>Main offices</v>
          </cell>
          <cell r="P482" t="str">
            <v xml:space="preserve">R1 Main Reception </v>
          </cell>
        </row>
        <row r="483">
          <cell r="I483" t="str">
            <v>NHC000515</v>
          </cell>
          <cell r="J483" t="str">
            <v>Property, plant &amp; equipment, Movable assets, FURNITURE AND FITTINGS, Other Assets, Single Pedestal Desk 1600 x 800</v>
          </cell>
          <cell r="K483" t="str">
            <v>Single Pedestal Desk 1600 x 800</v>
          </cell>
          <cell r="N483">
            <v>1</v>
          </cell>
          <cell r="O483" t="str">
            <v>Main offices</v>
          </cell>
          <cell r="P483" t="str">
            <v>Passage executive offices</v>
          </cell>
        </row>
        <row r="484">
          <cell r="I484" t="str">
            <v>NHC 000322</v>
          </cell>
          <cell r="J484" t="str">
            <v>Property, plant &amp; equipment, Movable assets, FURNITURE AND FITTINGS, Other Assets, Artifacts</v>
          </cell>
          <cell r="K484" t="str">
            <v>Artifacts</v>
          </cell>
          <cell r="N484">
            <v>1</v>
          </cell>
          <cell r="O484" t="str">
            <v>Main offices</v>
          </cell>
          <cell r="P484" t="str">
            <v xml:space="preserve">R1 Main Reception </v>
          </cell>
        </row>
        <row r="485">
          <cell r="I485" t="str">
            <v>NHC107</v>
          </cell>
          <cell r="J485" t="str">
            <v>Property, plant &amp; equipment, Movable assets, FURNITURE AND FITTINGS, Other Assets, 950*950mm Coffee Table</v>
          </cell>
          <cell r="K485" t="str">
            <v>950*950mm Coffee Table</v>
          </cell>
          <cell r="N485">
            <v>1</v>
          </cell>
          <cell r="O485" t="str">
            <v>Main offices</v>
          </cell>
          <cell r="P485" t="str">
            <v xml:space="preserve">R1 Main Reception </v>
          </cell>
        </row>
        <row r="486">
          <cell r="I486" t="str">
            <v>NHC000350</v>
          </cell>
          <cell r="J486" t="str">
            <v>Property, plant &amp; equipment, Movable assets, FURNITURE AND FITTINGS, Other Assets, NHC Pot with Reeds</v>
          </cell>
          <cell r="K486" t="str">
            <v>NHC Pot with Reeds</v>
          </cell>
          <cell r="N486">
            <v>1</v>
          </cell>
          <cell r="O486" t="str">
            <v>Main offices</v>
          </cell>
          <cell r="P486" t="str">
            <v xml:space="preserve">R1 Main Reception </v>
          </cell>
        </row>
        <row r="487">
          <cell r="I487" t="str">
            <v>NHC001003</v>
          </cell>
          <cell r="J487" t="str">
            <v>Property, plant &amp; equipment, Movable assets, FURNITURE AND FITTINGS, Other Assets, Tubby Armchair</v>
          </cell>
          <cell r="K487" t="str">
            <v>Tubby Armchair</v>
          </cell>
          <cell r="N487">
            <v>1</v>
          </cell>
          <cell r="O487" t="str">
            <v>Main offices</v>
          </cell>
          <cell r="P487" t="str">
            <v xml:space="preserve">R1 Main Reception </v>
          </cell>
        </row>
        <row r="488">
          <cell r="I488" t="str">
            <v>NHC001001</v>
          </cell>
          <cell r="J488" t="str">
            <v>Property, plant &amp; equipment, Movable assets, FURNITURE AND FITTINGS, Other Assets, Tubby Amrchair</v>
          </cell>
          <cell r="K488" t="str">
            <v>Tubby Amrchair</v>
          </cell>
          <cell r="N488">
            <v>1</v>
          </cell>
          <cell r="O488" t="str">
            <v>Main offices</v>
          </cell>
          <cell r="P488" t="str">
            <v xml:space="preserve">R1 Main Reception </v>
          </cell>
        </row>
        <row r="489">
          <cell r="I489" t="str">
            <v>NHC000250</v>
          </cell>
          <cell r="J489" t="str">
            <v>Property, plant &amp; equipment, Movable assets, FURNITURE AND FITTINGS, Other Assets, Reception counter</v>
          </cell>
          <cell r="K489" t="str">
            <v>Reception counter</v>
          </cell>
          <cell r="N489">
            <v>1</v>
          </cell>
          <cell r="O489" t="str">
            <v>Main offices</v>
          </cell>
          <cell r="P489" t="str">
            <v xml:space="preserve">R1 Main Reception </v>
          </cell>
        </row>
        <row r="490">
          <cell r="I490" t="str">
            <v>NHC001012</v>
          </cell>
          <cell r="J490" t="str">
            <v>Property, plant &amp; equipment, Movable assets, FURNITURE AND FITTINGS, Other Assets, Fridge Top Freezer</v>
          </cell>
          <cell r="K490" t="str">
            <v>Fridge Top Freezer</v>
          </cell>
          <cell r="N490">
            <v>1</v>
          </cell>
          <cell r="O490" t="str">
            <v>Main offices</v>
          </cell>
          <cell r="P490" t="str">
            <v>R5</v>
          </cell>
        </row>
        <row r="491">
          <cell r="I491">
            <v>1974</v>
          </cell>
          <cell r="J491" t="str">
            <v>Property, plant &amp; equipment, Movable assets, COMPUTER EQUIPMENT, Other Assets, Lenovo Laptop - Thandanani Mkhize</v>
          </cell>
          <cell r="K491" t="str">
            <v>Lenovo Laptop - Thandanani Mkhize</v>
          </cell>
          <cell r="L491" t="str">
            <v>PW08SYPQ</v>
          </cell>
          <cell r="N491">
            <v>1</v>
          </cell>
          <cell r="O491" t="str">
            <v>Main offices</v>
          </cell>
          <cell r="P491" t="str">
            <v xml:space="preserve">R2 Open plan finance </v>
          </cell>
        </row>
        <row r="492">
          <cell r="I492">
            <v>1074</v>
          </cell>
          <cell r="J492" t="str">
            <v>Property, plant &amp; equipment, Movable assets, COMPUTER EQUIPMENT, Other Assets, Macbook Air 1.6Ghz, 256HDD/Ngwaila/Nceba</v>
          </cell>
          <cell r="K492" t="str">
            <v>Macbook Air 1.6Ghz, 256HDD/Ngwaila/Nceba</v>
          </cell>
          <cell r="N492">
            <v>1</v>
          </cell>
          <cell r="O492" t="str">
            <v>Main offices</v>
          </cell>
          <cell r="P492" t="str">
            <v>R2</v>
          </cell>
        </row>
        <row r="493">
          <cell r="I493">
            <v>1438</v>
          </cell>
          <cell r="J493" t="str">
            <v>Property, plant &amp; equipment, Movable assets, COMPUTER EQUIPMENT, Other Assets, Dell Laptop/Mabe</v>
          </cell>
          <cell r="K493" t="str">
            <v>Dell Laptop/Mabe</v>
          </cell>
          <cell r="N493">
            <v>1</v>
          </cell>
          <cell r="O493" t="str">
            <v>Main offices</v>
          </cell>
          <cell r="P493" t="str">
            <v>R2</v>
          </cell>
        </row>
        <row r="494">
          <cell r="I494">
            <v>1081</v>
          </cell>
          <cell r="J494" t="str">
            <v>Property, plant &amp; equipment, Movable assets, COMPUTER EQUIPMENT, Other Assets, DESKTOP - DELL MONITOR</v>
          </cell>
          <cell r="K494" t="str">
            <v>DESKTOP - DELL MONITOR</v>
          </cell>
          <cell r="L494" t="str">
            <v>CN-02XT76-FCC00-77K-AOHU-AO1</v>
          </cell>
          <cell r="N494">
            <v>1</v>
          </cell>
          <cell r="O494" t="str">
            <v>Main offices</v>
          </cell>
          <cell r="P494" t="str">
            <v xml:space="preserve">R2 Open plan finance </v>
          </cell>
        </row>
        <row r="495">
          <cell r="I495" t="str">
            <v>NHC138</v>
          </cell>
          <cell r="J495" t="str">
            <v>Property, plant &amp; equipment, Movable assets, FURNITURE AND FITTINGS, Other Assets, Vesta Highback, Swivel &amp; Tilt, Gas Height, Leather</v>
          </cell>
          <cell r="K495" t="str">
            <v>Vesta Highback, Swivel &amp; Tilt, Gas Height, Leather</v>
          </cell>
          <cell r="N495">
            <v>1</v>
          </cell>
          <cell r="O495" t="str">
            <v>Main offices</v>
          </cell>
          <cell r="P495" t="str">
            <v xml:space="preserve">R2 Open plan finance </v>
          </cell>
        </row>
        <row r="496">
          <cell r="I496">
            <v>1123</v>
          </cell>
          <cell r="J496" t="str">
            <v>Property, plant &amp; equipment, Movable assets, FURNITURE AND FITTINGS, Other Assets, Rectangular Workshop/ Desk</v>
          </cell>
          <cell r="K496" t="str">
            <v>Rectangular Workshop/ Desk</v>
          </cell>
          <cell r="N496">
            <v>1</v>
          </cell>
          <cell r="O496" t="str">
            <v>Main offices</v>
          </cell>
          <cell r="P496" t="str">
            <v xml:space="preserve">R2 Open plan finance </v>
          </cell>
        </row>
        <row r="497">
          <cell r="I497" t="str">
            <v>NHC0082</v>
          </cell>
          <cell r="J497" t="str">
            <v>Property, plant &amp; equipment, Movable assets, FURNITURE AND FITTINGS, Other Assets, Coat Hanger</v>
          </cell>
          <cell r="K497" t="str">
            <v>Coat Hanger</v>
          </cell>
          <cell r="N497">
            <v>1</v>
          </cell>
          <cell r="O497" t="str">
            <v>Main offices</v>
          </cell>
          <cell r="P497" t="str">
            <v xml:space="preserve">R2 Open plan finance </v>
          </cell>
        </row>
        <row r="498">
          <cell r="I498" t="str">
            <v>NHC000520</v>
          </cell>
          <cell r="J498" t="str">
            <v>Property, plant &amp; equipment, Movable assets, FURNITURE AND FITTINGS, Other Assets, Glass Door Cabinet</v>
          </cell>
          <cell r="K498" t="str">
            <v>Glass Door Cabinet</v>
          </cell>
          <cell r="N498">
            <v>1</v>
          </cell>
          <cell r="O498" t="str">
            <v>Main offices</v>
          </cell>
          <cell r="P498" t="str">
            <v xml:space="preserve">R2 Open plan finance </v>
          </cell>
        </row>
        <row r="499">
          <cell r="I499">
            <v>1518</v>
          </cell>
          <cell r="J499" t="str">
            <v>Property, plant &amp; equipment, Movable assets, COMPUTER EQUIPMENT, Other Assets, DELL LAPTOP/Nozipho</v>
          </cell>
          <cell r="K499" t="str">
            <v>DELL LAPTOP/Nozipho</v>
          </cell>
          <cell r="L499" t="str">
            <v>5fvfzh3</v>
          </cell>
          <cell r="N499">
            <v>1</v>
          </cell>
          <cell r="O499" t="str">
            <v>Main offices</v>
          </cell>
          <cell r="P499" t="str">
            <v xml:space="preserve">R1 Open plan finance </v>
          </cell>
        </row>
        <row r="500">
          <cell r="I500" t="str">
            <v>NHC000722</v>
          </cell>
          <cell r="J500" t="str">
            <v>Property, plant &amp; equipment, Movable assets, FURNITURE AND FITTINGS, Other Assets, High Street Visitors Chair Black Bonded Leather</v>
          </cell>
          <cell r="K500" t="str">
            <v>High Street Visitors Chair Black Bonded Leather</v>
          </cell>
          <cell r="N500">
            <v>1</v>
          </cell>
          <cell r="O500" t="str">
            <v>Main offices</v>
          </cell>
          <cell r="P500" t="str">
            <v xml:space="preserve">R3 Open plan finance </v>
          </cell>
        </row>
        <row r="501">
          <cell r="I501" t="str">
            <v>NHC118</v>
          </cell>
          <cell r="J501" t="str">
            <v>Property, plant &amp; equipment, Movable assets, FURNITURE AND FITTINGS, Other Assets, Coat Hanger</v>
          </cell>
          <cell r="K501" t="str">
            <v>Coat Hanger</v>
          </cell>
          <cell r="N501">
            <v>1</v>
          </cell>
          <cell r="O501" t="str">
            <v>Main offices</v>
          </cell>
          <cell r="P501" t="str">
            <v xml:space="preserve">R3 Open plan finance </v>
          </cell>
        </row>
        <row r="502">
          <cell r="I502" t="str">
            <v>NHC000228</v>
          </cell>
          <cell r="J502" t="str">
            <v>Property, plant &amp; equipment, Movable assets, FURNITURE AND FITTINGS, Other Assets, 1500 B/Case W/Glass door Mahogany Veneer</v>
          </cell>
          <cell r="K502" t="str">
            <v>1500 B/Case W/Glass door Mahogany Veneer</v>
          </cell>
          <cell r="N502">
            <v>1</v>
          </cell>
          <cell r="O502" t="str">
            <v>Main offices</v>
          </cell>
          <cell r="P502" t="str">
            <v xml:space="preserve">R3 Open plan finance </v>
          </cell>
        </row>
        <row r="503">
          <cell r="I503">
            <v>1112</v>
          </cell>
          <cell r="J503" t="str">
            <v>Property, plant &amp; equipment, Movable assets, FURNITURE AND FITTINGS, Other Assets, Diplomat Panel Desk/Pedestal</v>
          </cell>
          <cell r="K503" t="str">
            <v>Diplomat Panel Desk/Pedestal</v>
          </cell>
          <cell r="N503">
            <v>1</v>
          </cell>
          <cell r="O503" t="str">
            <v>Main offices</v>
          </cell>
          <cell r="P503" t="str">
            <v xml:space="preserve">R3 Open plan finance </v>
          </cell>
        </row>
        <row r="504">
          <cell r="I504" t="str">
            <v>NHC000517</v>
          </cell>
          <cell r="J504" t="str">
            <v>Property, plant &amp; equipment, Movable assets, FURNITURE AND FITTINGS, Other Assets, Hinged Door Cabinet</v>
          </cell>
          <cell r="K504" t="str">
            <v>Hinged Door Cabinet</v>
          </cell>
          <cell r="N504">
            <v>1</v>
          </cell>
          <cell r="O504" t="str">
            <v>Main office</v>
          </cell>
          <cell r="P504" t="str">
            <v xml:space="preserve">R1 Open plan finance </v>
          </cell>
        </row>
        <row r="505">
          <cell r="I505" t="str">
            <v>NHC 000233</v>
          </cell>
          <cell r="J505" t="str">
            <v>Property, plant &amp; equipment, Movable assets, FURNITURE AND FITTINGS, Other Assets, 1500 B/Case W/Glass Mahogany Veneer</v>
          </cell>
          <cell r="K505" t="str">
            <v>1500 B/Case W/Glass Mahogany Veneer</v>
          </cell>
          <cell r="N505">
            <v>1</v>
          </cell>
          <cell r="O505" t="str">
            <v>Main offices</v>
          </cell>
          <cell r="P505" t="str">
            <v xml:space="preserve">R3 Open plan finance </v>
          </cell>
        </row>
        <row r="506">
          <cell r="I506" t="str">
            <v>NHC001512</v>
          </cell>
          <cell r="J506" t="str">
            <v>Property, plant &amp; equipment, Movable assets, COMPUTER EQUIPMENT, Other Assets, Laptop Dell Mobile Precision Workstation 3561 CTO</v>
          </cell>
          <cell r="K506" t="str">
            <v>Laptop Dell Mobile Precision Workstation 3561 CTO</v>
          </cell>
          <cell r="N506">
            <v>1</v>
          </cell>
          <cell r="O506" t="str">
            <v>Main offices</v>
          </cell>
          <cell r="P506" t="str">
            <v xml:space="preserve">R1 Open plan finance </v>
          </cell>
        </row>
        <row r="507">
          <cell r="I507" t="str">
            <v>NHC000678</v>
          </cell>
          <cell r="J507" t="str">
            <v>Property, plant &amp; equipment, Movable assets, FURNITURE AND FITTINGS, Other Assets, CHAIR HIGHBACK LEATHER</v>
          </cell>
          <cell r="K507" t="str">
            <v>CHAIR HIGHBACK LEATHER</v>
          </cell>
          <cell r="N507">
            <v>1</v>
          </cell>
          <cell r="O507" t="str">
            <v>Main offices</v>
          </cell>
          <cell r="P507" t="str">
            <v xml:space="preserve">R1 Open plan finance </v>
          </cell>
        </row>
        <row r="508">
          <cell r="I508">
            <v>1125</v>
          </cell>
          <cell r="J508" t="str">
            <v>Property, plant &amp; equipment, Movable assets, FURNITURE AND FITTINGS, Other Assets, Rectangular Workshop/ Desk</v>
          </cell>
          <cell r="K508" t="str">
            <v>Rectangular Workshop/ Desk</v>
          </cell>
          <cell r="N508">
            <v>1</v>
          </cell>
          <cell r="O508" t="str">
            <v>Main offices</v>
          </cell>
          <cell r="P508" t="str">
            <v xml:space="preserve">R1 Open plan finance </v>
          </cell>
        </row>
        <row r="509">
          <cell r="I509" t="str">
            <v>NHC000804</v>
          </cell>
          <cell r="J509" t="str">
            <v>Property, plant &amp; equipment, Movable assets, FURNITURE AND FITTINGS, Other Assets, High Back Chair</v>
          </cell>
          <cell r="K509" t="str">
            <v>High Back Chair</v>
          </cell>
          <cell r="N509">
            <v>1</v>
          </cell>
          <cell r="O509" t="str">
            <v>Main offices</v>
          </cell>
          <cell r="P509" t="str">
            <v xml:space="preserve">R1 Open plan finance </v>
          </cell>
        </row>
        <row r="510">
          <cell r="I510">
            <v>1133</v>
          </cell>
          <cell r="J510" t="str">
            <v>Property, plant &amp; equipment, Movable assets, FURNITURE AND FITTINGS, Other Assets, Rectangular Workshop/ Desk</v>
          </cell>
          <cell r="K510" t="str">
            <v>Rectangular Workshop/ Desk</v>
          </cell>
          <cell r="N510">
            <v>1</v>
          </cell>
          <cell r="O510" t="str">
            <v>Main offices</v>
          </cell>
          <cell r="P510" t="str">
            <v xml:space="preserve">R1 Open plan finance </v>
          </cell>
        </row>
        <row r="511">
          <cell r="I511">
            <v>1136</v>
          </cell>
          <cell r="J511" t="str">
            <v>Property, plant &amp; equipment, Movable assets, FURNITURE AND FITTINGS, Other Assets, Rectangular Workshop/ Desk</v>
          </cell>
          <cell r="K511" t="str">
            <v>Rectangular Workshop/ Desk</v>
          </cell>
          <cell r="N511">
            <v>1</v>
          </cell>
          <cell r="O511" t="str">
            <v>Main offices</v>
          </cell>
          <cell r="P511" t="str">
            <v xml:space="preserve">R1 Open plan finance </v>
          </cell>
        </row>
        <row r="512">
          <cell r="I512">
            <v>1606</v>
          </cell>
          <cell r="J512" t="str">
            <v>Property, plant &amp; equipment, Movable assets, FURNITURE AND FITTINGS, Other Assets, Black chair Ativo</v>
          </cell>
          <cell r="K512" t="str">
            <v>Black chair Ativo</v>
          </cell>
          <cell r="N512">
            <v>1</v>
          </cell>
          <cell r="O512" t="str">
            <v>Main offices</v>
          </cell>
          <cell r="P512" t="str">
            <v xml:space="preserve">R1 Open plan finance </v>
          </cell>
        </row>
        <row r="513">
          <cell r="I513" t="str">
            <v>NHC 000270</v>
          </cell>
          <cell r="J513" t="str">
            <v>Property, plant &amp; equipment, Movable assets, FURNITURE AND FITTINGS, Other Assets, Rhodes Chair Leather</v>
          </cell>
          <cell r="K513" t="str">
            <v>Rhodes Chair Leather</v>
          </cell>
          <cell r="N513">
            <v>1</v>
          </cell>
          <cell r="O513" t="str">
            <v xml:space="preserve">Open plan finance </v>
          </cell>
          <cell r="P513" t="str">
            <v xml:space="preserve">R1 Open plan finance </v>
          </cell>
        </row>
        <row r="514">
          <cell r="I514" t="str">
            <v>NHC000987</v>
          </cell>
          <cell r="J514" t="str">
            <v>Property, plant &amp; equipment, Movable assets, FURNITURE AND FITTINGS, Other Assets, Domino Training Table</v>
          </cell>
          <cell r="K514" t="str">
            <v>Domino Training Table</v>
          </cell>
          <cell r="N514">
            <v>1</v>
          </cell>
          <cell r="O514" t="str">
            <v>Main offices</v>
          </cell>
          <cell r="P514" t="str">
            <v xml:space="preserve">R4 Board room </v>
          </cell>
        </row>
        <row r="515">
          <cell r="I515" t="str">
            <v>NHC000731</v>
          </cell>
          <cell r="J515" t="str">
            <v>Property, plant &amp; equipment, Movable assets, FURNITURE AND FITTINGS, Other Assets, Domino Training Table</v>
          </cell>
          <cell r="K515" t="str">
            <v>Domino Training Table</v>
          </cell>
          <cell r="N515">
            <v>1</v>
          </cell>
          <cell r="O515" t="str">
            <v>Main offices</v>
          </cell>
          <cell r="P515" t="str">
            <v>R4 Main Boardroom</v>
          </cell>
        </row>
        <row r="516">
          <cell r="I516" t="str">
            <v>NHC000707</v>
          </cell>
          <cell r="J516" t="str">
            <v>Property, plant &amp; equipment, Movable assets, FURNITURE AND FITTINGS, Other Assets, High Street Visitors Chair Black Bonded Leather</v>
          </cell>
          <cell r="K516" t="str">
            <v>High Street Visitors Chair Black Bonded Leather</v>
          </cell>
          <cell r="N516">
            <v>1</v>
          </cell>
          <cell r="O516" t="str">
            <v>Main offices</v>
          </cell>
          <cell r="P516" t="str">
            <v xml:space="preserve">R4 main boardroom </v>
          </cell>
        </row>
        <row r="517">
          <cell r="I517" t="str">
            <v>NHC000734</v>
          </cell>
          <cell r="J517" t="str">
            <v>Property, plant &amp; equipment, Movable assets, FURNITURE AND FITTINGS, Other Assets, High Street Visitors Chair Black Bonded Leather</v>
          </cell>
          <cell r="K517" t="str">
            <v>High Street Visitors Chair Black Bonded Leather</v>
          </cell>
          <cell r="N517">
            <v>1</v>
          </cell>
          <cell r="O517" t="str">
            <v>Main offices</v>
          </cell>
          <cell r="P517" t="str">
            <v xml:space="preserve">R4 Board room </v>
          </cell>
        </row>
        <row r="518">
          <cell r="I518" t="str">
            <v>NHC000744</v>
          </cell>
          <cell r="J518" t="str">
            <v>Property, plant &amp; equipment, Movable assets, FURNITURE AND FITTINGS, Other Assets, High Street Visitors Chair Black Bonded Leather</v>
          </cell>
          <cell r="K518" t="str">
            <v>High Street Visitors Chair Black Bonded Leather</v>
          </cell>
          <cell r="N518">
            <v>1</v>
          </cell>
          <cell r="O518" t="str">
            <v>Main offices</v>
          </cell>
          <cell r="P518" t="str">
            <v xml:space="preserve">R4 main boardroom </v>
          </cell>
        </row>
        <row r="519">
          <cell r="I519" t="str">
            <v>NHC000754</v>
          </cell>
          <cell r="J519" t="str">
            <v>Property, plant &amp; equipment, Movable assets, FURNITURE AND FITTINGS, Other Assets, High Street Visitors Chair Black Bonded Leather</v>
          </cell>
          <cell r="K519" t="str">
            <v>High Street Visitors Chair Black Bonded Leather</v>
          </cell>
          <cell r="N519">
            <v>1</v>
          </cell>
          <cell r="O519" t="str">
            <v>Main offices</v>
          </cell>
          <cell r="P519" t="str">
            <v>R4 Main Boardroom</v>
          </cell>
        </row>
        <row r="520">
          <cell r="I520" t="str">
            <v>NHC000796</v>
          </cell>
          <cell r="J520" t="str">
            <v>Property, plant &amp; equipment, Movable assets, FURNITURE AND FITTINGS, Other Assets, High Street Visitors Chair Black Bonded Leather</v>
          </cell>
          <cell r="K520" t="str">
            <v>High Street Visitors Chair Black Bonded Leather</v>
          </cell>
          <cell r="N520">
            <v>1</v>
          </cell>
          <cell r="O520" t="str">
            <v>Main offices</v>
          </cell>
          <cell r="P520" t="str">
            <v>R4 Main Boardroom</v>
          </cell>
        </row>
        <row r="521">
          <cell r="I521" t="str">
            <v>NHC000784</v>
          </cell>
          <cell r="J521" t="str">
            <v>Property, plant &amp; equipment, Movable assets, FURNITURE AND FITTINGS, Other Assets, High Street Visitors Chair Black Bonded Leather</v>
          </cell>
          <cell r="K521" t="str">
            <v>High Street Visitors Chair Black Bonded Leather</v>
          </cell>
          <cell r="N521">
            <v>1</v>
          </cell>
          <cell r="O521" t="str">
            <v>Main offices</v>
          </cell>
          <cell r="P521" t="str">
            <v>R4 Main Boardroom</v>
          </cell>
        </row>
        <row r="522">
          <cell r="I522" t="str">
            <v>NHC000768</v>
          </cell>
          <cell r="J522" t="str">
            <v>Property, plant &amp; equipment, Movable assets, FURNITURE AND FITTINGS, Other Assets, High Street Visitors Chair Black Bonded Leather</v>
          </cell>
          <cell r="K522" t="str">
            <v>High Street Visitors Chair Black Bonded Leather</v>
          </cell>
          <cell r="N522">
            <v>1</v>
          </cell>
          <cell r="O522" t="str">
            <v>Main offices</v>
          </cell>
          <cell r="P522" t="str">
            <v xml:space="preserve">R4 main boardroom </v>
          </cell>
        </row>
        <row r="523">
          <cell r="I523" t="str">
            <v>NHC000792</v>
          </cell>
          <cell r="J523" t="str">
            <v>Property, plant &amp; equipment, Movable assets, FURNITURE AND FITTINGS, Other Assets, High Street Visitors Chair Black Bonded Leather</v>
          </cell>
          <cell r="K523" t="str">
            <v>High Street Visitors Chair Black Bonded Leather</v>
          </cell>
          <cell r="N523">
            <v>1</v>
          </cell>
          <cell r="O523" t="str">
            <v>Main offices</v>
          </cell>
          <cell r="P523" t="str">
            <v>R4 Main Boardroom</v>
          </cell>
        </row>
        <row r="524">
          <cell r="I524" t="str">
            <v>NHC000977</v>
          </cell>
          <cell r="J524" t="str">
            <v>Property, plant &amp; equipment, Movable assets, FURNITURE AND FITTINGS, Other Assets, High Street Visitor Chair Black Bonded Leather</v>
          </cell>
          <cell r="K524" t="str">
            <v>High Street Visitor Chair Black Bonded Leather</v>
          </cell>
          <cell r="N524">
            <v>1</v>
          </cell>
          <cell r="O524" t="str">
            <v>Main offices</v>
          </cell>
          <cell r="P524" t="str">
            <v>R4 Main Boardroom</v>
          </cell>
        </row>
        <row r="525">
          <cell r="I525" t="str">
            <v>NHC000769</v>
          </cell>
          <cell r="J525" t="str">
            <v>Property, plant &amp; equipment, Movable assets, FURNITURE AND FITTINGS, Other Assets, High Street Visitors Chair Black Bonded Leather</v>
          </cell>
          <cell r="K525" t="str">
            <v>High Street Visitors Chair Black Bonded Leather</v>
          </cell>
          <cell r="N525">
            <v>1</v>
          </cell>
          <cell r="O525" t="str">
            <v>Main offices</v>
          </cell>
          <cell r="P525" t="str">
            <v>R4 Main Boardroom</v>
          </cell>
        </row>
        <row r="526">
          <cell r="I526" t="str">
            <v>NHC000751</v>
          </cell>
          <cell r="J526" t="str">
            <v>Property, plant &amp; equipment, Movable assets, FURNITURE AND FITTINGS, Other Assets, High Street Visitors Chair Black Bonded Leather</v>
          </cell>
          <cell r="K526" t="str">
            <v>High Street Visitors Chair Black Bonded Leather</v>
          </cell>
          <cell r="N526">
            <v>1</v>
          </cell>
          <cell r="O526" t="str">
            <v>Main offices</v>
          </cell>
          <cell r="P526" t="str">
            <v>R4 Main Boardroom</v>
          </cell>
        </row>
        <row r="527">
          <cell r="I527" t="str">
            <v>NHC000998</v>
          </cell>
          <cell r="J527" t="str">
            <v>Property, plant &amp; equipment, Movable assets, FURNITURE AND FITTINGS, Other Assets, High Street Visitors Chair Black Bonded Leather</v>
          </cell>
          <cell r="K527" t="str">
            <v>High Street Visitors Chair Black Bonded Leather</v>
          </cell>
          <cell r="N527">
            <v>1</v>
          </cell>
          <cell r="O527" t="str">
            <v>Main offices</v>
          </cell>
          <cell r="P527" t="str">
            <v xml:space="preserve">R4 main boardroom </v>
          </cell>
        </row>
        <row r="528">
          <cell r="I528" t="str">
            <v>NHC 000276</v>
          </cell>
          <cell r="J528" t="str">
            <v>Property, plant &amp; equipment, Movable assets, FURNITURE AND FITTINGS, Other Assets, Rhodes Chair Leather</v>
          </cell>
          <cell r="K528" t="str">
            <v>Rhodes Chair Leather</v>
          </cell>
          <cell r="N528">
            <v>1</v>
          </cell>
          <cell r="O528" t="str">
            <v>Main offices</v>
          </cell>
          <cell r="P528" t="str">
            <v xml:space="preserve">R4 main boardroom </v>
          </cell>
        </row>
        <row r="529">
          <cell r="I529" t="str">
            <v>NHC000476</v>
          </cell>
          <cell r="J529" t="str">
            <v>Property, plant &amp; equipment, Movable assets, FURNITURE AND FITTINGS, Other Assets, Black Cabinet</v>
          </cell>
          <cell r="K529" t="str">
            <v>Black Cabinet</v>
          </cell>
          <cell r="N529">
            <v>1</v>
          </cell>
          <cell r="O529" t="str">
            <v>Main offices</v>
          </cell>
          <cell r="P529" t="str">
            <v xml:space="preserve">Open plan Office </v>
          </cell>
        </row>
        <row r="530">
          <cell r="I530" t="str">
            <v>NHC000725</v>
          </cell>
          <cell r="J530" t="str">
            <v>Property, plant &amp; equipment, Movable assets, FURNITURE AND FITTINGS, Other Assets, CHAIR VISITOR</v>
          </cell>
          <cell r="K530" t="str">
            <v>CHAIR VISITOR</v>
          </cell>
          <cell r="N530">
            <v>1</v>
          </cell>
          <cell r="O530" t="str">
            <v>Main offices</v>
          </cell>
          <cell r="P530" t="str">
            <v xml:space="preserve">R4 main boardroom </v>
          </cell>
        </row>
        <row r="531">
          <cell r="I531" t="str">
            <v>NHC0078</v>
          </cell>
          <cell r="J531" t="str">
            <v>Property, plant &amp; equipment, Movable assets, FURNITURE AND FITTINGS, Other Assets, Vesta highback, swivel &amp; tilt, gas height, leather</v>
          </cell>
          <cell r="K531" t="str">
            <v>Vesta highback,swivel &amp; tilt, gas height, leather</v>
          </cell>
          <cell r="N531">
            <v>1</v>
          </cell>
          <cell r="O531" t="str">
            <v>Main offices</v>
          </cell>
          <cell r="P531" t="str">
            <v>R4 Main Board room</v>
          </cell>
        </row>
        <row r="532">
          <cell r="I532" t="str">
            <v>NHC163</v>
          </cell>
          <cell r="J532" t="str">
            <v>Property, plant &amp; equipment, Movable assets, FURNITURE AND FITTINGS, Other Assets, 1500*1500 MM Square conference table</v>
          </cell>
          <cell r="K532" t="str">
            <v>1500*1500 MM Square conference table</v>
          </cell>
          <cell r="N532">
            <v>1</v>
          </cell>
          <cell r="O532" t="str">
            <v>Main offices</v>
          </cell>
          <cell r="P532" t="str">
            <v>R4 Main Board room</v>
          </cell>
        </row>
        <row r="533">
          <cell r="I533" t="str">
            <v>NHC000739</v>
          </cell>
          <cell r="J533" t="str">
            <v>Property, plant &amp; equipment, Movable assets, FURNITURE AND FITTINGS, Other Assets, Vulcan Fire Getone Chair</v>
          </cell>
          <cell r="K533" t="str">
            <v>Vulcan Fire Getone Chair</v>
          </cell>
          <cell r="N533">
            <v>1</v>
          </cell>
          <cell r="O533" t="str">
            <v>Main offices</v>
          </cell>
          <cell r="P533" t="str">
            <v>R4 Main Board room</v>
          </cell>
        </row>
        <row r="534">
          <cell r="I534" t="str">
            <v>NHC000479</v>
          </cell>
          <cell r="J534" t="str">
            <v>Property, plant &amp; equipment, Movable assets, FURNITURE AND FITTINGS, Other Assets, Steel Key Cabinet</v>
          </cell>
          <cell r="K534" t="str">
            <v>Steel Key Cabinet</v>
          </cell>
          <cell r="N534">
            <v>1</v>
          </cell>
          <cell r="O534" t="str">
            <v>Main offices</v>
          </cell>
          <cell r="P534" t="str">
            <v>R4 Main Board room</v>
          </cell>
        </row>
        <row r="535">
          <cell r="I535" t="str">
            <v>NHC000988</v>
          </cell>
          <cell r="J535" t="str">
            <v>Property, plant &amp; equipment, Movable assets, FURNITURE AND FITTINGS, Other Assets, Espresso Mobile Server</v>
          </cell>
          <cell r="K535" t="str">
            <v>Espresso Mobile Server</v>
          </cell>
          <cell r="N535">
            <v>1</v>
          </cell>
          <cell r="O535" t="str">
            <v>Main offices</v>
          </cell>
          <cell r="P535" t="str">
            <v xml:space="preserve">R4 main boardroom </v>
          </cell>
        </row>
        <row r="536">
          <cell r="I536" t="str">
            <v>NHC000858</v>
          </cell>
          <cell r="J536" t="str">
            <v>Property, plant &amp; equipment, Movable assets, FURNITURE AND FITTINGS, Other Assets, Visitor Chairs</v>
          </cell>
          <cell r="K536" t="str">
            <v>Visitor Chairs</v>
          </cell>
          <cell r="N536">
            <v>1</v>
          </cell>
          <cell r="O536" t="str">
            <v>Main offices</v>
          </cell>
          <cell r="P536" t="str">
            <v>R4 Main Boardroom</v>
          </cell>
        </row>
        <row r="537">
          <cell r="I537" t="str">
            <v>NHC 000227</v>
          </cell>
          <cell r="J537" t="str">
            <v>Property, plant &amp; equipment, Movable assets, FURNITURE AND FITTINGS, Other Assets, 20 Hole Mahogany Venneer</v>
          </cell>
          <cell r="K537" t="str">
            <v>20 Hole Mahogany Venneer</v>
          </cell>
          <cell r="N537">
            <v>1</v>
          </cell>
          <cell r="O537" t="str">
            <v>Main offices</v>
          </cell>
          <cell r="P537" t="str">
            <v>R4 Main Board room</v>
          </cell>
        </row>
        <row r="538">
          <cell r="I538" t="str">
            <v>NHC000667-2</v>
          </cell>
          <cell r="J538" t="str">
            <v>Property, plant &amp; equipment, Movable assets, OFFICE EQUIPMENT AND TOOLS, Other Assets, SAMSUNG TV 46 3D</v>
          </cell>
          <cell r="K538" t="str">
            <v>SAMSUNG TV 46 3D</v>
          </cell>
          <cell r="L538" t="str">
            <v>6919412372497</v>
          </cell>
          <cell r="N538">
            <v>1</v>
          </cell>
          <cell r="O538" t="str">
            <v>Main offices</v>
          </cell>
          <cell r="P538" t="str">
            <v>R33</v>
          </cell>
        </row>
        <row r="539">
          <cell r="I539" t="str">
            <v>NHC000973</v>
          </cell>
          <cell r="J539" t="str">
            <v>Property, plant &amp; equipment, Movable assets, OFFICE EQUIPMENT AND TOOLS, Other Assets, LG LCD 32 Col TV</v>
          </cell>
          <cell r="K539" t="str">
            <v>LG LCD 32 Col TV</v>
          </cell>
          <cell r="L539" t="str">
            <v>7 11 GU 06472</v>
          </cell>
          <cell r="N539">
            <v>1</v>
          </cell>
          <cell r="O539" t="str">
            <v>Main offices</v>
          </cell>
          <cell r="P539" t="str">
            <v>R33</v>
          </cell>
        </row>
        <row r="540">
          <cell r="I540">
            <v>1067</v>
          </cell>
          <cell r="J540" t="str">
            <v>Property, plant &amp; equipment, Movable assets, OFFICE EQUIPMENT AND TOOLS, Other Assets, Dstv Decoder (Resource Centre)</v>
          </cell>
          <cell r="K540" t="str">
            <v>Dstv Decoder (Resource Centre)</v>
          </cell>
          <cell r="L540" t="str">
            <v>V6027499285</v>
          </cell>
          <cell r="N540">
            <v>1</v>
          </cell>
          <cell r="O540" t="str">
            <v>Main offices</v>
          </cell>
          <cell r="P540" t="str">
            <v>R33</v>
          </cell>
        </row>
        <row r="541">
          <cell r="I541">
            <v>1510</v>
          </cell>
          <cell r="J541" t="str">
            <v>Property, plant &amp; equipment, Movable assets, OFFICE EQUIPMENT AND TOOLS, Other Assets, Samsung Exhibition Monitor/Digital screen</v>
          </cell>
          <cell r="K541" t="str">
            <v>Samsung Exhibition Monitor/Digital screen</v>
          </cell>
          <cell r="L541" t="str">
            <v>014A3FANA06023F</v>
          </cell>
          <cell r="N541">
            <v>1</v>
          </cell>
          <cell r="O541" t="str">
            <v>Main offices</v>
          </cell>
          <cell r="P541" t="str">
            <v>R33</v>
          </cell>
        </row>
        <row r="542">
          <cell r="I542" t="str">
            <v>NHC 000773</v>
          </cell>
          <cell r="J542" t="str">
            <v>Property, plant &amp; equipment, Movable assets, OFFICE EQUIPMENT AND TOOLS, Other Assets, Salton Heater</v>
          </cell>
          <cell r="K542" t="str">
            <v>Salton Heater</v>
          </cell>
          <cell r="N542">
            <v>1</v>
          </cell>
          <cell r="O542" t="str">
            <v>Main offices</v>
          </cell>
          <cell r="P542" t="str">
            <v>R33</v>
          </cell>
        </row>
        <row r="543">
          <cell r="I543" t="str">
            <v>NHC 000541</v>
          </cell>
          <cell r="J543" t="str">
            <v>Property, plant &amp; equipment, Movable assets, OFFICE EQUIPMENT AND TOOLS, Other Assets, HP Laser CP</v>
          </cell>
          <cell r="K543" t="str">
            <v>REXEL BINDING MAC</v>
          </cell>
          <cell r="N543">
            <v>1</v>
          </cell>
          <cell r="O543" t="str">
            <v>Main offices</v>
          </cell>
          <cell r="P543" t="str">
            <v>Open plan finance</v>
          </cell>
        </row>
        <row r="544">
          <cell r="I544" t="str">
            <v>NHC000508</v>
          </cell>
          <cell r="J544" t="str">
            <v>Property, plant &amp; equipment, Movable assets, FURNITURE AND FITTINGS, Other Assets, 2700x1200 Boardroom Table</v>
          </cell>
          <cell r="K544" t="str">
            <v>2700x1200 Boardroom Table</v>
          </cell>
          <cell r="N544">
            <v>1</v>
          </cell>
          <cell r="O544" t="str">
            <v>Main offices</v>
          </cell>
          <cell r="P544" t="str">
            <v xml:space="preserve">Open Plan Finance </v>
          </cell>
        </row>
        <row r="545">
          <cell r="I545" t="str">
            <v>NHC 000226</v>
          </cell>
          <cell r="J545" t="str">
            <v>Property, plant &amp; equipment, Movable assets, FURNITURE AND FITTINGS, Other Assets, 2 Tier Bookcase Mahogany Veneer</v>
          </cell>
          <cell r="K545" t="str">
            <v>2 Tier Bookcase Mahogany Veneer</v>
          </cell>
          <cell r="N545">
            <v>1</v>
          </cell>
          <cell r="O545" t="str">
            <v>Main offices</v>
          </cell>
          <cell r="P545" t="str">
            <v>Open Plan finance</v>
          </cell>
        </row>
        <row r="546">
          <cell r="I546" t="str">
            <v>nhc000691-2</v>
          </cell>
          <cell r="J546" t="str">
            <v>Property, plant &amp; equipment, Movable assets, OFFICE EQUIPMENT AND TOOLS, Other Assets, schredder rexel</v>
          </cell>
          <cell r="K546" t="str">
            <v>schredder rexel</v>
          </cell>
          <cell r="N546">
            <v>1</v>
          </cell>
          <cell r="O546" t="str">
            <v>Main offices</v>
          </cell>
          <cell r="P546" t="str">
            <v>Open plan finance</v>
          </cell>
        </row>
        <row r="547">
          <cell r="I547">
            <v>1208</v>
          </cell>
          <cell r="J547" t="str">
            <v>Property, plant &amp; equipment, Movable assets, FURNITURE AND FITTINGS, Other Assets, Chair/ Light Green</v>
          </cell>
          <cell r="K547" t="str">
            <v>Chair/ Light Green</v>
          </cell>
          <cell r="N547">
            <v>1</v>
          </cell>
          <cell r="O547" t="str">
            <v>Main offices</v>
          </cell>
          <cell r="P547" t="str">
            <v xml:space="preserve">Open Plan Finance </v>
          </cell>
        </row>
        <row r="548">
          <cell r="I548">
            <v>1205</v>
          </cell>
          <cell r="J548" t="str">
            <v>Property, plant &amp; equipment, Movable assets, FURNITURE AND FITTINGS, Other Assets, Chair/ Light Green</v>
          </cell>
          <cell r="K548" t="str">
            <v>Chair/ Light Green</v>
          </cell>
          <cell r="N548">
            <v>1</v>
          </cell>
          <cell r="O548" t="str">
            <v>Main offices</v>
          </cell>
          <cell r="P548" t="str">
            <v xml:space="preserve">Open Plan Finance </v>
          </cell>
        </row>
        <row r="549">
          <cell r="I549">
            <v>1203</v>
          </cell>
          <cell r="J549" t="str">
            <v>Property, plant &amp; equipment, Movable assets, FURNITURE AND FITTINGS, Other Assets, Chair/ Light Green</v>
          </cell>
          <cell r="K549" t="str">
            <v>Chair/ Light Green</v>
          </cell>
          <cell r="N549">
            <v>1</v>
          </cell>
          <cell r="O549" t="str">
            <v>Main offices</v>
          </cell>
          <cell r="P549" t="str">
            <v xml:space="preserve">Open Plan Finance </v>
          </cell>
        </row>
        <row r="550">
          <cell r="I550">
            <v>1214</v>
          </cell>
          <cell r="J550" t="str">
            <v>Property, plant &amp; equipment, Movable assets, FURNITURE AND FITTINGS, Other Assets, Chair/ Light Green</v>
          </cell>
          <cell r="K550" t="str">
            <v>Chair/ Light Green</v>
          </cell>
          <cell r="N550">
            <v>1</v>
          </cell>
          <cell r="O550" t="str">
            <v>Main offices</v>
          </cell>
          <cell r="P550" t="str">
            <v xml:space="preserve">Open Plan Finance </v>
          </cell>
        </row>
        <row r="551">
          <cell r="I551">
            <v>1212</v>
          </cell>
          <cell r="J551" t="str">
            <v>Property, plant &amp; equipment, Movable assets, FURNITURE AND FITTINGS, Other Assets, Chair/ Light Green</v>
          </cell>
          <cell r="K551" t="str">
            <v>Chair/ Light Green</v>
          </cell>
          <cell r="N551">
            <v>1</v>
          </cell>
          <cell r="O551" t="str">
            <v>Main offices</v>
          </cell>
          <cell r="P551" t="str">
            <v xml:space="preserve">Open Plan Finance </v>
          </cell>
        </row>
        <row r="552">
          <cell r="I552" t="str">
            <v>NHC001006</v>
          </cell>
          <cell r="J552" t="str">
            <v>Property, plant &amp; equipment, Movable assets, FURNITURE AND FITTINGS, Other Assets, Coffee Table</v>
          </cell>
          <cell r="K552" t="str">
            <v>Coffee Table</v>
          </cell>
          <cell r="N552">
            <v>1</v>
          </cell>
          <cell r="O552" t="str">
            <v>Main offices</v>
          </cell>
          <cell r="P552" t="str">
            <v xml:space="preserve">Open Plan Finance </v>
          </cell>
        </row>
        <row r="553">
          <cell r="I553" t="str">
            <v>NHC109</v>
          </cell>
          <cell r="J553" t="str">
            <v>Property, plant &amp; equipment, Movable assets, FURNITURE AND FITTINGS, Other Assets, Traditional Cane Chair-Range 2 fabric</v>
          </cell>
          <cell r="K553" t="str">
            <v>Traditional Cane Chair-Range 2 fabric</v>
          </cell>
          <cell r="N553">
            <v>1</v>
          </cell>
          <cell r="O553" t="str">
            <v>Main offices</v>
          </cell>
          <cell r="P553" t="str">
            <v xml:space="preserve">Open Plan Finance </v>
          </cell>
        </row>
        <row r="554">
          <cell r="I554" t="str">
            <v>NHC178</v>
          </cell>
          <cell r="J554" t="str">
            <v>Property, plant &amp; equipment, Movable assets, FURNITURE AND FITTINGS, Other Assets, Traditional cane chair-range 2 fabric</v>
          </cell>
          <cell r="K554" t="str">
            <v>Traditional cane chair-range 2 fabric</v>
          </cell>
          <cell r="N554">
            <v>1</v>
          </cell>
          <cell r="O554" t="str">
            <v>Main offices</v>
          </cell>
          <cell r="P554" t="str">
            <v xml:space="preserve">Open Plan Finance </v>
          </cell>
        </row>
        <row r="555">
          <cell r="I555" t="str">
            <v>NHC130</v>
          </cell>
          <cell r="J555" t="str">
            <v>Property, plant &amp; equipment, Movable assets, FURNITURE AND FITTINGS, Other Assets, Traditional Cane Chair</v>
          </cell>
          <cell r="K555" t="str">
            <v>Traditional Cane Chair</v>
          </cell>
          <cell r="N555">
            <v>1</v>
          </cell>
          <cell r="O555" t="str">
            <v>Main offices</v>
          </cell>
          <cell r="P555" t="str">
            <v xml:space="preserve">Open Plan Finance </v>
          </cell>
        </row>
        <row r="556">
          <cell r="I556" t="str">
            <v>NHC 000232</v>
          </cell>
          <cell r="J556" t="str">
            <v>Property, plant &amp; equipment, Movable assets, FURNITURE AND FITTINGS, Other Assets, 1500Systems Cabinet Mahogany Veneer</v>
          </cell>
          <cell r="K556" t="str">
            <v>1500Systems Cabinet Mahogany Veneer</v>
          </cell>
          <cell r="N556">
            <v>1</v>
          </cell>
          <cell r="O556" t="str">
            <v>Main offices</v>
          </cell>
          <cell r="P556" t="str">
            <v>Open Plan finance</v>
          </cell>
        </row>
        <row r="557">
          <cell r="I557">
            <v>1126</v>
          </cell>
          <cell r="J557" t="str">
            <v>Property, plant &amp; equipment, Movable assets, FURNITURE AND FITTINGS, Other Assets, Rectangular Workshop/ Desk</v>
          </cell>
          <cell r="K557" t="str">
            <v>Rectangular Workshop/ Desk</v>
          </cell>
          <cell r="N557">
            <v>1</v>
          </cell>
          <cell r="O557" t="str">
            <v>Main offices</v>
          </cell>
          <cell r="P557" t="str">
            <v>Open plan finance</v>
          </cell>
        </row>
        <row r="558">
          <cell r="I558">
            <v>1234</v>
          </cell>
          <cell r="J558" t="str">
            <v>Property, plant &amp; equipment, Movable assets, FURNITURE AND FITTINGS, Other Assets, Mobile Pedestal</v>
          </cell>
          <cell r="K558" t="str">
            <v>Mobile Pedestal</v>
          </cell>
          <cell r="N558">
            <v>1</v>
          </cell>
          <cell r="O558" t="str">
            <v>Main offices</v>
          </cell>
          <cell r="P558" t="str">
            <v>Open Plan finance</v>
          </cell>
        </row>
        <row r="559">
          <cell r="I559" t="str">
            <v>NHC000876</v>
          </cell>
          <cell r="J559" t="str">
            <v>Property, plant &amp; equipment, Movable assets, FURNITURE AND FITTINGS, Other Assets, Work Station (Desk)</v>
          </cell>
          <cell r="K559" t="str">
            <v>Work Station (Desk)</v>
          </cell>
          <cell r="N559">
            <v>1</v>
          </cell>
          <cell r="O559" t="str">
            <v>Main offices</v>
          </cell>
          <cell r="P559" t="str">
            <v>Open plan finance</v>
          </cell>
        </row>
        <row r="560">
          <cell r="I560" t="str">
            <v>NHC171</v>
          </cell>
          <cell r="J560" t="str">
            <v>Property, plant &amp; equipment, Movable assets, FURNITURE AND FITTINGS, Other Assets, Lockable TV Cabinet</v>
          </cell>
          <cell r="K560" t="str">
            <v>Lockable TV Cabinet</v>
          </cell>
          <cell r="N560">
            <v>1</v>
          </cell>
          <cell r="O560" t="str">
            <v>Main offices</v>
          </cell>
          <cell r="P560" t="str">
            <v>Open plan finance</v>
          </cell>
        </row>
        <row r="561">
          <cell r="I561" t="str">
            <v>NHC 000248</v>
          </cell>
          <cell r="J561" t="str">
            <v>Property, plant &amp; equipment, Movable assets, FURNITURE AND FITTINGS, Other Assets, 1500 Systems Cabinet Mahogany Veneer</v>
          </cell>
          <cell r="K561" t="str">
            <v>1500 Systems Cabinet Mahogany Veneer</v>
          </cell>
          <cell r="N561">
            <v>1</v>
          </cell>
          <cell r="O561" t="str">
            <v>Main offices</v>
          </cell>
          <cell r="P561" t="str">
            <v>Open plan finance</v>
          </cell>
        </row>
        <row r="562">
          <cell r="I562" t="str">
            <v>NHC 000230</v>
          </cell>
          <cell r="J562" t="str">
            <v>Property, plant &amp; equipment, Movable assets, FURNITURE AND FITTINGS, Other Assets, 1500 B/Case W/Glass door Mahogany Veneer</v>
          </cell>
          <cell r="K562" t="str">
            <v>1500 B/Case W/Glass door Mahogany Veneer</v>
          </cell>
          <cell r="N562">
            <v>1</v>
          </cell>
          <cell r="O562" t="str">
            <v>Main offices</v>
          </cell>
          <cell r="P562" t="str">
            <v>Open plan finance</v>
          </cell>
        </row>
        <row r="563">
          <cell r="I563">
            <v>1608</v>
          </cell>
          <cell r="J563" t="str">
            <v>Property, plant &amp; equipment, Movable assets, FURNITURE AND FITTINGS, Other Assets, Black chair Ativo</v>
          </cell>
          <cell r="K563" t="str">
            <v>Black chair Ativo</v>
          </cell>
          <cell r="N563">
            <v>1</v>
          </cell>
          <cell r="O563" t="str">
            <v>Main offices</v>
          </cell>
          <cell r="P563" t="str">
            <v>Open Plan finance</v>
          </cell>
        </row>
        <row r="564">
          <cell r="I564" t="str">
            <v>NHC 000261</v>
          </cell>
          <cell r="J564" t="str">
            <v>Property, plant &amp; equipment, Movable assets, FURNITURE AND FITTINGS, Other Assets, 1500Systems Cabinet Mahogany Veneer</v>
          </cell>
          <cell r="K564" t="str">
            <v>1500Systems Cabinet Mahogany Veneer</v>
          </cell>
          <cell r="N564">
            <v>1</v>
          </cell>
          <cell r="O564" t="str">
            <v>Main offices</v>
          </cell>
          <cell r="P564" t="str">
            <v>Open Plan finance</v>
          </cell>
        </row>
        <row r="565">
          <cell r="I565">
            <v>1236</v>
          </cell>
          <cell r="J565" t="str">
            <v>Property, plant &amp; equipment, Movable assets, FURNITURE AND FITTINGS, Other Assets, Mobile Pedestal</v>
          </cell>
          <cell r="K565" t="str">
            <v>Mobile Pedestal</v>
          </cell>
          <cell r="N565">
            <v>1</v>
          </cell>
          <cell r="O565" t="str">
            <v>Main offices</v>
          </cell>
          <cell r="P565" t="str">
            <v>Open Plan finance</v>
          </cell>
        </row>
        <row r="566">
          <cell r="I566">
            <v>1139</v>
          </cell>
          <cell r="J566" t="str">
            <v>Property, plant &amp; equipment, Movable assets, FURNITURE AND FITTINGS, Other Assets, Rectangular Workshop/ Desk</v>
          </cell>
          <cell r="K566" t="str">
            <v>Rectangular Workshop/ Desk</v>
          </cell>
          <cell r="N566">
            <v>1</v>
          </cell>
          <cell r="O566" t="str">
            <v>Main offices</v>
          </cell>
          <cell r="P566" t="str">
            <v>Open Plan finance</v>
          </cell>
        </row>
        <row r="567">
          <cell r="I567">
            <v>1124</v>
          </cell>
          <cell r="J567" t="str">
            <v>Property, plant &amp; equipment, Movable assets, FURNITURE AND FITTINGS, Other Assets, Rectangular Workshop/ Desk</v>
          </cell>
          <cell r="K567" t="str">
            <v>Rectangular Workshop/ Desk</v>
          </cell>
          <cell r="N567">
            <v>1</v>
          </cell>
          <cell r="O567" t="str">
            <v>Main offices</v>
          </cell>
          <cell r="P567" t="str">
            <v>Open Plan finance</v>
          </cell>
        </row>
        <row r="568">
          <cell r="I568">
            <v>1026</v>
          </cell>
          <cell r="J568" t="str">
            <v>Property, plant &amp; equipment, Movable assets, FURNITURE AND FITTINGS, Other Assets, High Back Chair</v>
          </cell>
          <cell r="K568" t="str">
            <v xml:space="preserve">High Back Chair Cloth Armrest and Wheels Black </v>
          </cell>
          <cell r="N568">
            <v>1</v>
          </cell>
          <cell r="O568" t="str">
            <v>Main offices</v>
          </cell>
          <cell r="P568" t="str">
            <v>Open plan finance</v>
          </cell>
        </row>
        <row r="569">
          <cell r="I569" t="str">
            <v>NHC 000254</v>
          </cell>
          <cell r="J569" t="str">
            <v>Property, plant &amp; equipment, Movable assets, FURNITURE AND FITTINGS, Other Assets, 1500 Systems Cabinet Mahogany Veneer</v>
          </cell>
          <cell r="K569" t="str">
            <v>1500 Systems Cabinet Mahogany Veneer</v>
          </cell>
          <cell r="N569">
            <v>1</v>
          </cell>
          <cell r="O569" t="str">
            <v>Main offices</v>
          </cell>
          <cell r="P569" t="str">
            <v>Open plan finance</v>
          </cell>
        </row>
        <row r="570">
          <cell r="I570">
            <v>1616</v>
          </cell>
          <cell r="J570" t="str">
            <v>Property, plant &amp; equipment, Movable assets, FURNITURE AND FITTINGS, Other Assets, Black chair Ativo</v>
          </cell>
          <cell r="K570" t="str">
            <v>Black chair Ativo</v>
          </cell>
          <cell r="N570">
            <v>1</v>
          </cell>
          <cell r="O570" t="str">
            <v>Main offices</v>
          </cell>
          <cell r="P570" t="str">
            <v>Open plan finance</v>
          </cell>
        </row>
        <row r="571">
          <cell r="I571">
            <v>1953</v>
          </cell>
          <cell r="J571" t="str">
            <v>Property, plant &amp; equipment, Movable assets, COMPUTER EQUIPMENT, Other Assets, Lenovo Laptop - Salome Sithole</v>
          </cell>
          <cell r="K571" t="str">
            <v>Lenovo Laptop - Salome Sithole</v>
          </cell>
          <cell r="N571">
            <v>1</v>
          </cell>
          <cell r="O571" t="str">
            <v>Main offices</v>
          </cell>
        </row>
        <row r="572">
          <cell r="I572">
            <v>1972</v>
          </cell>
          <cell r="J572" t="str">
            <v>Property, plant &amp; equipment, Movable assets, COMPUTER EQUIPMENT, Other Assets, Lenovo Laptop - Dr Tsholofelo Mosala</v>
          </cell>
          <cell r="K572" t="str">
            <v>Lenovo Laptop - Dr Tsholofelo Mosala</v>
          </cell>
          <cell r="N572">
            <v>1</v>
          </cell>
          <cell r="O572" t="str">
            <v>Main offices</v>
          </cell>
        </row>
        <row r="573">
          <cell r="I573">
            <v>1453</v>
          </cell>
          <cell r="J573" t="str">
            <v>Property, plant &amp; equipment, Movable assets, COMPUTER EQUIPMENT, Other Assets, Samsung Galaxy Tab A9 - Ms Elodie Tlhoaele</v>
          </cell>
          <cell r="K573" t="str">
            <v>Samsung Galaxy Tab A9 - Ms Elodie Tlhoaele</v>
          </cell>
          <cell r="N573">
            <v>1</v>
          </cell>
          <cell r="O573" t="str">
            <v>Main offices</v>
          </cell>
        </row>
        <row r="574">
          <cell r="I574">
            <v>1975</v>
          </cell>
          <cell r="J574" t="str">
            <v>Property, plant &amp; equipment, Movable assets, COMPUTER EQUIPMENT, Other Assets, Samsung Galaxy Tab A9 - Ms Kibini Elizabeth</v>
          </cell>
          <cell r="K574" t="str">
            <v>Samsung Galaxy Tab A9 - Ms Kibini Elizabeth</v>
          </cell>
          <cell r="N574">
            <v>1</v>
          </cell>
          <cell r="O574" t="str">
            <v>Main offices</v>
          </cell>
        </row>
        <row r="575">
          <cell r="I575">
            <v>1792</v>
          </cell>
          <cell r="J575" t="str">
            <v>Property, plant &amp; equipment, Movable assets, COMPUTER EQUIPMENT, Other Assets, Lenovo Thinking Pad - Tshehlane</v>
          </cell>
          <cell r="K575" t="str">
            <v>Lenovo Thinking Pad - Tshehlane</v>
          </cell>
          <cell r="N575">
            <v>1</v>
          </cell>
          <cell r="O575" t="str">
            <v>Main offices</v>
          </cell>
        </row>
        <row r="576">
          <cell r="I576">
            <v>1747</v>
          </cell>
          <cell r="J576" t="str">
            <v>Property, plant &amp; equipment, Movable assets, COMPUTER EQUIPMENT, Other Assets, Lenovo Thinking Pad</v>
          </cell>
          <cell r="K576" t="str">
            <v>Lenovo Thinking Pad</v>
          </cell>
          <cell r="N576">
            <v>1</v>
          </cell>
          <cell r="O576" t="str">
            <v>Main offices</v>
          </cell>
        </row>
        <row r="577">
          <cell r="I577">
            <v>1790</v>
          </cell>
          <cell r="J577" t="str">
            <v>Property, plant &amp; equipment, Movable assets, COMPUTER EQUIPMENT, Other Assets, Lenovo Thinking Pad - Mbalenhle</v>
          </cell>
          <cell r="K577" t="str">
            <v>Lenovo Thinking Pad - Mbalenhle</v>
          </cell>
          <cell r="N577">
            <v>1</v>
          </cell>
          <cell r="O577" t="str">
            <v>Main offices</v>
          </cell>
        </row>
        <row r="578">
          <cell r="I578">
            <v>1714</v>
          </cell>
          <cell r="J578" t="str">
            <v>Property, plant &amp; equipment, Movable assets, COMPUTER EQUIPMENT, Other Assets, Lenovo Thinking Pad - Not yet allocated - August 23</v>
          </cell>
          <cell r="K578" t="str">
            <v>Lenovo Thinking Pad - Not yet allocated - August 23</v>
          </cell>
          <cell r="N578">
            <v>1</v>
          </cell>
          <cell r="O578" t="str">
            <v>Main offices</v>
          </cell>
        </row>
        <row r="579">
          <cell r="I579">
            <v>1713</v>
          </cell>
          <cell r="J579" t="str">
            <v>Property, plant &amp; equipment, Movable assets, COMPUTER EQUIPMENT, Other Assets, Biometric Devices - Server Room</v>
          </cell>
          <cell r="K579" t="str">
            <v>Biometric Devices - Server Room</v>
          </cell>
          <cell r="N579">
            <v>1</v>
          </cell>
          <cell r="O579" t="str">
            <v>Main offices</v>
          </cell>
        </row>
        <row r="580">
          <cell r="I580" t="str">
            <v>NHC001514</v>
          </cell>
          <cell r="J580" t="str">
            <v>Property, plant &amp; equipment, Movable assets, COMPUTER EQUIPMENT, Other Assets, Laptop Dell Mobile Precision Workstation 3561 CTO</v>
          </cell>
          <cell r="K580" t="str">
            <v>Laptop Dell Mobile Precision Workstation 3561 CTO</v>
          </cell>
          <cell r="N580">
            <v>1</v>
          </cell>
          <cell r="O580" t="str">
            <v>Main offices</v>
          </cell>
        </row>
        <row r="581">
          <cell r="I581" t="str">
            <v>NHC001565</v>
          </cell>
          <cell r="J581" t="str">
            <v>Property, plant &amp; equipment, Movable assets, COMPUTER EQUIPMENT, Other Assets, Laptop Dell Mobile Precision Workstation 3561 CTO (Motlatjo Ralefane)</v>
          </cell>
          <cell r="K581" t="str">
            <v>Laptop Dell Mobile Precision Workstation 3561 CTO (Motlatjo Ralefane)</v>
          </cell>
          <cell r="N581">
            <v>1</v>
          </cell>
          <cell r="O581" t="str">
            <v>Main offices</v>
          </cell>
        </row>
        <row r="582">
          <cell r="I582" t="str">
            <v>NHC001509</v>
          </cell>
          <cell r="J582" t="str">
            <v>Property, plant &amp; equipment, Movable assets, COMPUTER EQUIPMENT, Other Assets, Laptop Dell Mobile Precision Workstation 3561 CTO</v>
          </cell>
          <cell r="K582" t="str">
            <v>Laptop Dell Mobile Precision Workstation 3561 CTO</v>
          </cell>
          <cell r="N582">
            <v>1</v>
          </cell>
          <cell r="O582" t="str">
            <v>Main offices</v>
          </cell>
        </row>
        <row r="583">
          <cell r="I583" t="str">
            <v>NHC001550</v>
          </cell>
          <cell r="J583" t="str">
            <v>Property, plant &amp; equipment, Movable assets, COMPUTER EQUIPMENT, Other Assets, Laptop Dell Mobile Precision Workstation 3561 CTO</v>
          </cell>
          <cell r="K583" t="str">
            <v>Laptop Dell Mobile Precision Workstation 3561 CTO</v>
          </cell>
          <cell r="N583">
            <v>1</v>
          </cell>
          <cell r="O583" t="str">
            <v>Main offices</v>
          </cell>
        </row>
        <row r="584">
          <cell r="I584" t="str">
            <v>NHC001588</v>
          </cell>
          <cell r="J584" t="str">
            <v>Property, plant &amp; equipment, Movable assets, COMPUTER EQUIPMENT, Other Assets, Laptop Dell Mobile Precision Workstation 3561 CTO</v>
          </cell>
          <cell r="K584" t="str">
            <v>Laptop Dell Mobile Precision Workstation 3561 CTO</v>
          </cell>
          <cell r="N584">
            <v>1</v>
          </cell>
          <cell r="O584" t="str">
            <v>Main offices</v>
          </cell>
        </row>
        <row r="585">
          <cell r="I585" t="str">
            <v>NHC001547</v>
          </cell>
          <cell r="J585" t="str">
            <v>Property, plant &amp; equipment, Movable assets, COMPUTER EQUIPMENT, Other Assets, Laptop Dell Mobile Precision Workstation 3561 CTO</v>
          </cell>
          <cell r="K585" t="str">
            <v>Laptop Dell Mobile Precision Workstation 3561 CTO</v>
          </cell>
          <cell r="N585">
            <v>1</v>
          </cell>
          <cell r="O585" t="str">
            <v>Main offices</v>
          </cell>
        </row>
        <row r="586">
          <cell r="I586" t="str">
            <v>NHC001596</v>
          </cell>
          <cell r="J586" t="str">
            <v>Property, plant &amp; equipment, Movable assets, COMPUTER EQUIPMENT, Other Assets, Laptop Dell Mobile Precision Workstation 3561 CTO</v>
          </cell>
          <cell r="K586" t="str">
            <v>Laptop Dell Mobile Precision Workstation 3561 CTO</v>
          </cell>
          <cell r="N586">
            <v>1</v>
          </cell>
          <cell r="O586" t="str">
            <v>Main offices</v>
          </cell>
        </row>
        <row r="587">
          <cell r="I587" t="str">
            <v>NHC001587</v>
          </cell>
          <cell r="J587" t="str">
            <v>Property, plant &amp; equipment, Movable assets, COMPUTER EQUIPMENT, Other Assets, Laptop Dell Mobile Precision Workstation 3561 CTO</v>
          </cell>
          <cell r="K587" t="str">
            <v>Laptop Dell Mobile Precision Workstation 3561 CTO</v>
          </cell>
          <cell r="N587">
            <v>1</v>
          </cell>
          <cell r="O587" t="str">
            <v>Main offices</v>
          </cell>
        </row>
        <row r="588">
          <cell r="I588">
            <v>1521</v>
          </cell>
          <cell r="J588" t="str">
            <v>Property, plant &amp; equipment, Movable assets, COMPUTER EQUIPMENT, Other Assets, DELL LAPTOP - Lucky</v>
          </cell>
          <cell r="K588" t="str">
            <v>DELL LAPTOP - Lucky</v>
          </cell>
          <cell r="N588">
            <v>1</v>
          </cell>
          <cell r="O588" t="str">
            <v>Main offices</v>
          </cell>
        </row>
        <row r="589">
          <cell r="I589">
            <v>1683</v>
          </cell>
          <cell r="J589" t="str">
            <v>Property, plant &amp; equipment, Movable assets, OFFICE EQUIPMENT AND TOOLS, Other Assets, Cannon Camera</v>
          </cell>
          <cell r="K589" t="str">
            <v>Cannon Camera</v>
          </cell>
          <cell r="N589">
            <v>1</v>
          </cell>
          <cell r="O589" t="str">
            <v>Main offices</v>
          </cell>
        </row>
        <row r="590">
          <cell r="I590">
            <v>1513</v>
          </cell>
          <cell r="J590" t="str">
            <v>Property, plant &amp; equipment, Movable assets, OFFICE EQUIPMENT AND TOOLS, Other Assets, Cannon Camera</v>
          </cell>
          <cell r="K590" t="str">
            <v>Cannon Camera</v>
          </cell>
          <cell r="N590">
            <v>1</v>
          </cell>
          <cell r="O590" t="str">
            <v>Main offices</v>
          </cell>
        </row>
        <row r="591">
          <cell r="I591">
            <v>1602</v>
          </cell>
          <cell r="J591" t="str">
            <v>Property, plant &amp; equipment, Movable assets, OFFICE EQUIPMENT AND TOOLS, Other Assets, AUDIO VISUAL</v>
          </cell>
          <cell r="K591" t="str">
            <v>AUDIO VISUAL</v>
          </cell>
          <cell r="N591">
            <v>1</v>
          </cell>
          <cell r="O591" t="str">
            <v>Main offices</v>
          </cell>
        </row>
        <row r="592">
          <cell r="I592" t="str">
            <v>001119</v>
          </cell>
          <cell r="J592" t="str">
            <v>Property, plant &amp; equipment, Movable assets, FURNITURE AND FITTINGS, Other Assets, High Back Chair</v>
          </cell>
          <cell r="K592" t="str">
            <v>High Back Chair</v>
          </cell>
          <cell r="N592">
            <v>1</v>
          </cell>
          <cell r="O592" t="str">
            <v>Main offices</v>
          </cell>
        </row>
        <row r="593">
          <cell r="I593" t="str">
            <v>000436</v>
          </cell>
          <cell r="J593" t="str">
            <v>Property, plant &amp; equipment, Movable assets, FURNITURE AND FITTINGS, Other Assets, High Back Chair Cloth Armrest and Wheels black</v>
          </cell>
          <cell r="K593" t="str">
            <v>High Back Chair Cloth Armrest and Wheels black</v>
          </cell>
          <cell r="N593">
            <v>1</v>
          </cell>
          <cell r="O593" t="str">
            <v>Main offices</v>
          </cell>
        </row>
        <row r="594">
          <cell r="I594">
            <v>1551</v>
          </cell>
          <cell r="J594" t="str">
            <v>Property, plant &amp; equipment, Movable assets, COMPUTER EQUIPMENT, Other Assets, DELL LAPTOP/Spare</v>
          </cell>
          <cell r="K594" t="str">
            <v>DELL LAPTOP/Spare</v>
          </cell>
          <cell r="N594">
            <v>1</v>
          </cell>
          <cell r="O594" t="str">
            <v>Main offices</v>
          </cell>
        </row>
        <row r="595">
          <cell r="I595">
            <v>1531</v>
          </cell>
          <cell r="J595" t="str">
            <v>Property, plant &amp; equipment, Movable assets, COMPUTER EQUIPMENT, Other Assets, LENOVO LAPTOP/Tshepo</v>
          </cell>
          <cell r="K595" t="str">
            <v>LENOVO LAPTOP/Tshepo</v>
          </cell>
          <cell r="N595">
            <v>1</v>
          </cell>
          <cell r="O595" t="str">
            <v>Main offices</v>
          </cell>
        </row>
        <row r="596">
          <cell r="I596">
            <v>1520</v>
          </cell>
          <cell r="J596" t="str">
            <v>Property, plant &amp; equipment, Movable assets, COMPUTER EQUIPMENT, Other Assets, LENOVO LAPTOP/Mandla - Lungile</v>
          </cell>
          <cell r="K596" t="str">
            <v>LENOVO LAPTOP/Mandla - Lungile</v>
          </cell>
          <cell r="N596">
            <v>1</v>
          </cell>
          <cell r="O596" t="str">
            <v>Main offices</v>
          </cell>
        </row>
        <row r="597">
          <cell r="I597">
            <v>1527</v>
          </cell>
          <cell r="J597" t="str">
            <v>Property, plant &amp; equipment, Movable assets, COMPUTER EQUIPMENT, Other Assets, DELL LAPTOP/Neliswa</v>
          </cell>
          <cell r="K597" t="str">
            <v>DELL LAPTOP/Neliswa</v>
          </cell>
          <cell r="N597">
            <v>1</v>
          </cell>
          <cell r="O597" t="str">
            <v>Main offices</v>
          </cell>
        </row>
        <row r="598">
          <cell r="I598">
            <v>1530</v>
          </cell>
          <cell r="J598" t="str">
            <v>Property, plant &amp; equipment, Movable assets, COMPUTER EQUIPMENT, Other Assets, DELL LAPTOP/Thato</v>
          </cell>
          <cell r="K598" t="str">
            <v>DELL LAPTOP/Thato</v>
          </cell>
          <cell r="N598">
            <v>1</v>
          </cell>
          <cell r="O598" t="str">
            <v>Main offices</v>
          </cell>
        </row>
        <row r="599">
          <cell r="I599">
            <v>1534</v>
          </cell>
          <cell r="J599" t="str">
            <v>Property, plant &amp; equipment, Movable assets, COMPUTER EQUIPMENT, Other Assets, DELL LAPTOP/Ghabisile</v>
          </cell>
          <cell r="K599" t="str">
            <v>DELL LAPTOP/Ghabisile</v>
          </cell>
          <cell r="N599">
            <v>1</v>
          </cell>
          <cell r="O599" t="str">
            <v>Main offices</v>
          </cell>
        </row>
        <row r="600">
          <cell r="I600">
            <v>1533</v>
          </cell>
          <cell r="J600" t="str">
            <v>Property, plant &amp; equipment, Movable assets, COMPUTER EQUIPMENT, Other Assets, DELL LAPTOP/Khwezi</v>
          </cell>
          <cell r="K600" t="str">
            <v>DELL LAPTOP/Khwezi</v>
          </cell>
          <cell r="N600">
            <v>1</v>
          </cell>
          <cell r="O600" t="str">
            <v>Main offices</v>
          </cell>
        </row>
        <row r="601">
          <cell r="I601">
            <v>1537</v>
          </cell>
          <cell r="J601" t="str">
            <v>Property, plant &amp; equipment, Movable assets, COMPUTER EQUIPMENT, Other Assets, DELL LAPTOP/Tebogo</v>
          </cell>
          <cell r="K601" t="str">
            <v>DELL LAPTOP/Tebogo</v>
          </cell>
          <cell r="N601">
            <v>1</v>
          </cell>
          <cell r="O601" t="str">
            <v>Main offices</v>
          </cell>
        </row>
        <row r="602">
          <cell r="I602">
            <v>1504</v>
          </cell>
          <cell r="J602" t="str">
            <v>Property, plant &amp; equipment, Movable assets, COMPUTER EQUIPMENT, Other Assets, Seagate 10 TB Backup</v>
          </cell>
          <cell r="K602" t="str">
            <v>Seagate 10 TB Backup</v>
          </cell>
          <cell r="N602">
            <v>1</v>
          </cell>
          <cell r="O602" t="str">
            <v>Main offices</v>
          </cell>
        </row>
        <row r="603">
          <cell r="I603">
            <v>1439</v>
          </cell>
          <cell r="J603" t="str">
            <v>Property, plant &amp; equipment, Movable assets, COMPUTER EQUIPMENT, Other Assets, Dell Laptop/Edith/CEO /Stolen</v>
          </cell>
          <cell r="K603" t="str">
            <v>Dell Laptop/Edith/CEO /Stolen</v>
          </cell>
          <cell r="N603">
            <v>1</v>
          </cell>
          <cell r="O603" t="str">
            <v>Main offices</v>
          </cell>
        </row>
        <row r="604">
          <cell r="I604">
            <v>1182</v>
          </cell>
          <cell r="J604" t="str">
            <v>Property, plant &amp; equipment, Movable assets, COMPUTER EQUIPMENT, Other Assets, External Hard-Drive (Seagate)/Sid</v>
          </cell>
          <cell r="K604" t="str">
            <v>External Hard-Drive (Seagate)/Sid</v>
          </cell>
          <cell r="N604">
            <v>1</v>
          </cell>
          <cell r="O604" t="str">
            <v>Main offices</v>
          </cell>
        </row>
        <row r="605">
          <cell r="I605">
            <v>1276</v>
          </cell>
          <cell r="J605" t="str">
            <v>Property, plant &amp; equipment, Movable assets, COMPUTER EQUIPMENT, Other Assets, Dell Laptop/Amos</v>
          </cell>
          <cell r="K605" t="str">
            <v>Dell Laptop/Amos</v>
          </cell>
          <cell r="N605">
            <v>1</v>
          </cell>
          <cell r="O605" t="str">
            <v>Main offices</v>
          </cell>
        </row>
        <row r="606">
          <cell r="I606">
            <v>1078</v>
          </cell>
          <cell r="J606" t="str">
            <v>Property, plant &amp; equipment, Movable assets, COMPUTER EQUIPMENT, Other Assets, External Hard Drive Seagate/Thato</v>
          </cell>
          <cell r="K606" t="str">
            <v>External Hard Drive Seagate/Thato</v>
          </cell>
          <cell r="N606">
            <v>1</v>
          </cell>
          <cell r="O606" t="str">
            <v>Main offices</v>
          </cell>
        </row>
        <row r="607">
          <cell r="I607">
            <v>1080</v>
          </cell>
          <cell r="J607" t="str">
            <v>Property, plant &amp; equipment, Movable assets, COMPUTER EQUIPMENT, Other Assets, DESKTOP - DELL CPU V3668 MT (CEO)</v>
          </cell>
          <cell r="K607" t="str">
            <v>DESKTOP - DELL CPU V3668 MT (CEO)</v>
          </cell>
          <cell r="N607">
            <v>1</v>
          </cell>
          <cell r="O607" t="str">
            <v>Main offices</v>
          </cell>
        </row>
        <row r="608">
          <cell r="I608">
            <v>1064</v>
          </cell>
          <cell r="J608" t="str">
            <v>Property, plant &amp; equipment, Movable assets, COMPUTER EQUIPMENT, Other Assets, Monitor (Desktop Computer) - Mavis</v>
          </cell>
          <cell r="K608" t="str">
            <v>Monitor (Desktop Computer) - Mavis</v>
          </cell>
          <cell r="N608">
            <v>1</v>
          </cell>
          <cell r="O608" t="str">
            <v>Main offices</v>
          </cell>
        </row>
        <row r="609">
          <cell r="I609">
            <v>1055</v>
          </cell>
          <cell r="J609" t="str">
            <v>Property, plant &amp; equipment, Movable assets, COMPUTER EQUIPMENT, Other Assets, External DVD Drive/Yako</v>
          </cell>
          <cell r="K609" t="str">
            <v>External DVD Drive/Yako</v>
          </cell>
          <cell r="N609">
            <v>1</v>
          </cell>
          <cell r="O609" t="str">
            <v>Main offices</v>
          </cell>
        </row>
        <row r="610">
          <cell r="I610">
            <v>1035</v>
          </cell>
          <cell r="J610" t="str">
            <v>Property, plant &amp; equipment, Movable assets, COMPUTER EQUIPMENT, Other Assets, UNI-FI WI-FI ROUTER</v>
          </cell>
          <cell r="K610" t="str">
            <v>UNI-FI WI-FI ROUTER</v>
          </cell>
          <cell r="N610">
            <v>1</v>
          </cell>
          <cell r="O610" t="str">
            <v>Main offices</v>
          </cell>
        </row>
        <row r="611">
          <cell r="I611" t="str">
            <v>NHC000950</v>
          </cell>
          <cell r="J611" t="str">
            <v>Property, plant &amp; equipment, Movable assets, COMPUTER EQUIPMENT, Other Assets, 5000VA/4000W Inverter with Vision fully - Sealed deep cycle</v>
          </cell>
          <cell r="K611" t="str">
            <v>5000VA/4000W Inverter with Vision fully - Sealed deep cycle</v>
          </cell>
          <cell r="N611">
            <v>1</v>
          </cell>
          <cell r="O611" t="str">
            <v>Main offices</v>
          </cell>
        </row>
        <row r="612">
          <cell r="I612" t="str">
            <v>NHC 00573</v>
          </cell>
          <cell r="J612" t="str">
            <v>Property, plant &amp; equipment, Movable assets, COMPUTER EQUIPMENT, Other Assets, 19 Monitor/GM</v>
          </cell>
          <cell r="K612" t="str">
            <v>19 Monitor/GM</v>
          </cell>
          <cell r="N612">
            <v>1</v>
          </cell>
          <cell r="O612" t="str">
            <v>Main offices</v>
          </cell>
        </row>
        <row r="613">
          <cell r="I613" t="str">
            <v>NHC000468</v>
          </cell>
          <cell r="J613" t="str">
            <v>Property, plant &amp; equipment, Movable assets, COMPUTER EQUIPMENT, Other Assets, Logitech S120 Speakers</v>
          </cell>
          <cell r="K613" t="str">
            <v>Logitech S120 Speakers</v>
          </cell>
          <cell r="N613">
            <v>1</v>
          </cell>
          <cell r="O613" t="str">
            <v>Main offices</v>
          </cell>
        </row>
        <row r="614">
          <cell r="I614">
            <v>1483</v>
          </cell>
          <cell r="J614" t="str">
            <v>Property, plant &amp; equipment, Movable assets, OFFICE EQUIPMENT AND TOOLS, Other Assets, Voice Recorder/Matime</v>
          </cell>
          <cell r="K614" t="str">
            <v>Voice Recorder/Matime</v>
          </cell>
          <cell r="N614">
            <v>1</v>
          </cell>
          <cell r="O614" t="str">
            <v>Main offices</v>
          </cell>
        </row>
        <row r="615">
          <cell r="I615">
            <v>1423</v>
          </cell>
          <cell r="J615" t="str">
            <v>Property, plant &amp; equipment, Movable assets, OFFICE EQUIPMENT AND TOOLS, Other Assets, Foot Pedal Sanitiser Dispenser</v>
          </cell>
          <cell r="K615" t="str">
            <v>Foot Pedal Sanitiser Dispenser</v>
          </cell>
          <cell r="N615">
            <v>1</v>
          </cell>
          <cell r="O615" t="str">
            <v>Main offices</v>
          </cell>
        </row>
        <row r="616">
          <cell r="I616" t="str">
            <v>S10+ Note</v>
          </cell>
          <cell r="J616" t="str">
            <v>Property, plant &amp; equipment, Movable assets, OFFICE EQUIPMENT AND TOOLS, Other Assets, CEO Samsung Galaxy Note 10+ Aura Glow</v>
          </cell>
          <cell r="K616" t="str">
            <v>CEO Samsung Galaxy Note 10+ Aura Glow</v>
          </cell>
          <cell r="N616">
            <v>1</v>
          </cell>
          <cell r="O616" t="str">
            <v>Main offices</v>
          </cell>
        </row>
        <row r="617">
          <cell r="I617" t="str">
            <v>Sumsung Galaxy S9</v>
          </cell>
          <cell r="J617" t="str">
            <v>Property, plant &amp; equipment, Movable assets, OFFICE EQUIPMENT AND TOOLS, Other Assets, Cellphone - Sumsung Galaxy S9 Blue (Chair)</v>
          </cell>
          <cell r="K617" t="str">
            <v>Cellphone - Sumsung Galaxy S9 Blue (Chair)</v>
          </cell>
          <cell r="N617">
            <v>1</v>
          </cell>
          <cell r="O617" t="str">
            <v>Main offices</v>
          </cell>
        </row>
        <row r="618">
          <cell r="I618">
            <v>1289</v>
          </cell>
          <cell r="J618" t="str">
            <v>Property, plant &amp; equipment, Movable assets, OFFICE EQUIPMENT AND TOOLS, Other Assets, HP COLOR LASERJET PRINTER - Sold</v>
          </cell>
          <cell r="K618" t="str">
            <v>HP COLOR LASERJET PRINTER - Sold</v>
          </cell>
          <cell r="N618">
            <v>1</v>
          </cell>
          <cell r="O618" t="str">
            <v>Main offices</v>
          </cell>
        </row>
        <row r="619">
          <cell r="I619">
            <v>1272</v>
          </cell>
          <cell r="J619" t="str">
            <v>Property, plant &amp; equipment, Movable assets, OFFICE EQUIPMENT AND TOOLS, Other Assets, Bar Heater</v>
          </cell>
          <cell r="K619" t="str">
            <v>Bar Heater</v>
          </cell>
          <cell r="N619">
            <v>1</v>
          </cell>
          <cell r="O619" t="str">
            <v>Main offices</v>
          </cell>
        </row>
        <row r="620">
          <cell r="I620">
            <v>1271</v>
          </cell>
          <cell r="J620" t="str">
            <v>Property, plant &amp; equipment, Movable assets, OFFICE EQUIPMENT AND TOOLS, Other Assets, Bar Heater</v>
          </cell>
          <cell r="K620" t="str">
            <v>Bar Heater</v>
          </cell>
          <cell r="N620">
            <v>1</v>
          </cell>
          <cell r="O620" t="str">
            <v>Main offices</v>
          </cell>
        </row>
        <row r="621">
          <cell r="I621">
            <v>1240</v>
          </cell>
          <cell r="J621" t="str">
            <v>Property, plant &amp; equipment, Movable assets, OFFICE EQUIPMENT AND TOOLS, Other Assets, Oil Heater</v>
          </cell>
          <cell r="K621" t="str">
            <v>Oil Heater</v>
          </cell>
          <cell r="N621">
            <v>1</v>
          </cell>
          <cell r="O621" t="str">
            <v>Main offices</v>
          </cell>
        </row>
        <row r="622">
          <cell r="I622">
            <v>1239</v>
          </cell>
          <cell r="J622" t="str">
            <v>Property, plant &amp; equipment, Movable assets, OFFICE EQUIPMENT AND TOOLS, Other Assets, Oil Heater</v>
          </cell>
          <cell r="K622" t="str">
            <v>Oil Heater</v>
          </cell>
          <cell r="N622">
            <v>1</v>
          </cell>
          <cell r="O622" t="str">
            <v>Main offices</v>
          </cell>
        </row>
        <row r="623">
          <cell r="I623">
            <v>1076</v>
          </cell>
          <cell r="J623" t="str">
            <v>Property, plant &amp; equipment, Movable assets, OFFICE EQUIPMENT AND TOOLS, Other Assets, HP LASERJET PRINTER 202</v>
          </cell>
          <cell r="K623" t="str">
            <v>HP LASERJET PRINTER 202</v>
          </cell>
          <cell r="N623">
            <v>1</v>
          </cell>
          <cell r="O623" t="str">
            <v>Main offices</v>
          </cell>
        </row>
        <row r="624">
          <cell r="I624">
            <v>1075</v>
          </cell>
          <cell r="J624" t="str">
            <v>Property, plant &amp; equipment, Movable assets, OFFICE EQUIPMENT AND TOOLS, Other Assets, HP LASERJET PRINTER/Amos</v>
          </cell>
          <cell r="K624" t="str">
            <v>HP LASERJET PRINTER/Amos</v>
          </cell>
          <cell r="N624">
            <v>1</v>
          </cell>
          <cell r="O624" t="str">
            <v>Main offices</v>
          </cell>
        </row>
        <row r="625">
          <cell r="I625" t="str">
            <v>NHC001018</v>
          </cell>
          <cell r="J625" t="str">
            <v>Property, plant &amp; equipment, Movable assets, OFFICE EQUIPMENT AND TOOLS, Other Assets, E &amp; T Set &amp; Torch</v>
          </cell>
          <cell r="K625" t="str">
            <v>E &amp; T Set &amp; Torch</v>
          </cell>
          <cell r="N625">
            <v>1</v>
          </cell>
          <cell r="O625" t="str">
            <v>Main offices</v>
          </cell>
        </row>
        <row r="626">
          <cell r="I626" t="str">
            <v>Smart Pen</v>
          </cell>
          <cell r="J626" t="str">
            <v>Property, plant &amp; equipment, Movable assets, OFFICE EQUIPMENT AND TOOLS, Other Assets, Echo Smart Pen 2 Gig</v>
          </cell>
          <cell r="K626" t="str">
            <v>Echo Smart Pen 2 Gig</v>
          </cell>
          <cell r="N626">
            <v>1</v>
          </cell>
          <cell r="O626" t="str">
            <v>Main offices</v>
          </cell>
        </row>
        <row r="627">
          <cell r="I627" t="str">
            <v>NHC000748</v>
          </cell>
          <cell r="J627" t="str">
            <v>Property, plant &amp; equipment, Movable assets, OFFICE EQUIPMENT AND TOOLS, Other Assets, Tape Recoder</v>
          </cell>
          <cell r="K627" t="str">
            <v>Tape Recoder</v>
          </cell>
          <cell r="N627">
            <v>1</v>
          </cell>
          <cell r="O627" t="str">
            <v>Main offices</v>
          </cell>
        </row>
        <row r="628">
          <cell r="I628" t="str">
            <v>NHC000952</v>
          </cell>
          <cell r="J628" t="str">
            <v>Property, plant &amp; equipment, Movable assets, OFFICE EQUIPMENT AND TOOLS, Other Assets, Tape Recorder/IT</v>
          </cell>
          <cell r="K628" t="str">
            <v>Tape Recorder/IT</v>
          </cell>
          <cell r="N628">
            <v>1</v>
          </cell>
          <cell r="O628" t="str">
            <v>Main offices</v>
          </cell>
        </row>
        <row r="629">
          <cell r="I629" t="str">
            <v>NHC001017</v>
          </cell>
          <cell r="J629" t="str">
            <v>Property, plant &amp; equipment, Movable assets, OFFICE EQUIPMENT AND TOOLS, Other Assets, HB Meter</v>
          </cell>
          <cell r="K629" t="str">
            <v>HB Meter</v>
          </cell>
          <cell r="N629">
            <v>1</v>
          </cell>
          <cell r="O629" t="str">
            <v>Main offices</v>
          </cell>
        </row>
        <row r="630">
          <cell r="I630" t="str">
            <v>NHC001016</v>
          </cell>
          <cell r="J630" t="str">
            <v>Property, plant &amp; equipment, Movable assets, OFFICE EQUIPMENT AND TOOLS, Other Assets, Binding Machine</v>
          </cell>
          <cell r="K630" t="str">
            <v>Binding Machine</v>
          </cell>
          <cell r="N630">
            <v>1</v>
          </cell>
          <cell r="O630" t="str">
            <v>Main offices</v>
          </cell>
        </row>
        <row r="631">
          <cell r="I631" t="str">
            <v>GALAXY S7 GOLD</v>
          </cell>
          <cell r="J631" t="str">
            <v>Property, plant &amp; equipment, Movable assets, OFFICE EQUIPMENT AND TOOLS, Other Assets, SAMSUNG GALAXY S7 GOLD/Lynzi</v>
          </cell>
          <cell r="K631" t="str">
            <v>SAMSUNG GALAXY S7 GOLD/Lynzi</v>
          </cell>
          <cell r="N631">
            <v>1</v>
          </cell>
          <cell r="O631" t="str">
            <v>Main offices</v>
          </cell>
        </row>
        <row r="632">
          <cell r="I632" t="str">
            <v>GALAXY S7 SILVER</v>
          </cell>
          <cell r="J632" t="str">
            <v>Property, plant &amp; equipment, Movable assets, OFFICE EQUIPMENT AND TOOLS, Other Assets, Cellphone - SAMSUNG GALAXY S7 SILVER (Chair)</v>
          </cell>
          <cell r="K632" t="str">
            <v>Cellphone - SAMSUNG GALAXY S7 SILVER (Chair)</v>
          </cell>
          <cell r="N632">
            <v>1</v>
          </cell>
          <cell r="O632" t="str">
            <v>Main offices</v>
          </cell>
        </row>
        <row r="633">
          <cell r="I633" t="str">
            <v>Chairs Cellphone</v>
          </cell>
          <cell r="J633" t="str">
            <v>Property, plant &amp; equipment, Movable assets, OFFICE EQUIPMENT AND TOOLS, Other Assets, Cellphone - S7 EDGE 32GB Silver</v>
          </cell>
          <cell r="K633" t="str">
            <v>Cellphone - S7 EDGE 32GB Silver</v>
          </cell>
          <cell r="N633">
            <v>1</v>
          </cell>
          <cell r="O633" t="str">
            <v>Main offices</v>
          </cell>
        </row>
        <row r="634">
          <cell r="I634" t="str">
            <v>NHC000054</v>
          </cell>
          <cell r="J634" t="str">
            <v>Property, plant &amp; equipment, Movable assets, OFFICE EQUIPMENT AND TOOLS, Other Assets, Comb Binder</v>
          </cell>
          <cell r="K634" t="str">
            <v>Comb Binder</v>
          </cell>
          <cell r="N634">
            <v>1</v>
          </cell>
          <cell r="O634" t="str">
            <v>Main offices</v>
          </cell>
        </row>
        <row r="635">
          <cell r="I635" t="str">
            <v>NHC00054</v>
          </cell>
          <cell r="J635" t="str">
            <v>Property, plant &amp; equipment, Movable assets, OFFICE EQUIPMENT AND TOOLS, Other Assets, Shredder Rexel (Mar) Oldest</v>
          </cell>
          <cell r="K635" t="str">
            <v>Shredder Rexel (Mar) Oldest</v>
          </cell>
          <cell r="N635">
            <v>1</v>
          </cell>
          <cell r="O635" t="str">
            <v>Main offices</v>
          </cell>
        </row>
        <row r="636">
          <cell r="I636" t="str">
            <v>NHC000903</v>
          </cell>
          <cell r="J636" t="str">
            <v>Property, plant &amp; equipment, Movable assets, OFFICE EQUIPMENT AND TOOLS, Other Assets, Samsung Bracket</v>
          </cell>
          <cell r="K636" t="str">
            <v>Samsung Bracket</v>
          </cell>
          <cell r="N636">
            <v>1</v>
          </cell>
          <cell r="O636" t="str">
            <v>Main offices</v>
          </cell>
        </row>
        <row r="637">
          <cell r="I637" t="str">
            <v>NHC000947</v>
          </cell>
          <cell r="J637" t="str">
            <v>Property, plant &amp; equipment, Movable assets, OFFICE EQUIPMENT AND TOOLS, Other Assets, Nikon P510 Bridge</v>
          </cell>
          <cell r="K637" t="str">
            <v>Nikon P510 Bridge</v>
          </cell>
          <cell r="N637">
            <v>1</v>
          </cell>
          <cell r="O637" t="str">
            <v>Main offices</v>
          </cell>
        </row>
        <row r="638">
          <cell r="I638" t="str">
            <v>NHC000696</v>
          </cell>
          <cell r="J638" t="str">
            <v>Property, plant &amp; equipment, Movable assets, OFFICE EQUIPMENT AND TOOLS, Other Assets, SAMSUNG BLUE RAY</v>
          </cell>
          <cell r="K638" t="str">
            <v>SAMSUNG BLUE RAY</v>
          </cell>
          <cell r="N638">
            <v>1</v>
          </cell>
          <cell r="O638" t="str">
            <v>Main offices</v>
          </cell>
        </row>
        <row r="639">
          <cell r="I639" t="str">
            <v>NHC000665-2</v>
          </cell>
          <cell r="J639" t="str">
            <v>Property, plant &amp; equipment, Movable assets, OFFICE EQUIPMENT AND TOOLS, Other Assets, SAMSUNG BLU RAY</v>
          </cell>
          <cell r="K639" t="str">
            <v>SAMSUNG BLU RAY</v>
          </cell>
          <cell r="N639">
            <v>1</v>
          </cell>
          <cell r="O639" t="str">
            <v>Main offices</v>
          </cell>
        </row>
        <row r="640">
          <cell r="I640" t="str">
            <v>NHC000286</v>
          </cell>
          <cell r="J640" t="str">
            <v>Property, plant &amp; equipment, Movable assets, OFFICE EQUIPMENT AND TOOLS, Other Assets, Sound System</v>
          </cell>
          <cell r="K640" t="str">
            <v>Sound System</v>
          </cell>
          <cell r="N640">
            <v>1</v>
          </cell>
          <cell r="O640" t="str">
            <v>Main offices</v>
          </cell>
        </row>
        <row r="641">
          <cell r="I641" t="str">
            <v>NHC000500</v>
          </cell>
          <cell r="J641" t="str">
            <v>Property, plant &amp; equipment, Movable assets, OFFICE EQUIPMENT AND TOOLS, Other Assets, Nikon Camera S8000 Black</v>
          </cell>
          <cell r="K641" t="str">
            <v>Nikon Camera S8000 Black</v>
          </cell>
          <cell r="N641">
            <v>1</v>
          </cell>
          <cell r="O641" t="str">
            <v>Main offices</v>
          </cell>
        </row>
        <row r="642">
          <cell r="I642" t="str">
            <v>NHC00817</v>
          </cell>
          <cell r="J642" t="str">
            <v>Property, plant &amp; equipment, Movable assets, OFFICE EQUIPMENT AND TOOLS, Other Assets, Aluminium briefcase with foam cut outs</v>
          </cell>
          <cell r="K642" t="str">
            <v>Aluminium briefcase with foam cut outs</v>
          </cell>
          <cell r="N642">
            <v>1</v>
          </cell>
          <cell r="O642" t="str">
            <v>Main offices</v>
          </cell>
        </row>
        <row r="643">
          <cell r="I643" t="str">
            <v>NHC000842</v>
          </cell>
          <cell r="J643" t="str">
            <v>Property, plant &amp; equipment, Movable assets, OFFICE EQUIPMENT AND TOOLS, Other Assets, Olympus Digital Conference Recoder</v>
          </cell>
          <cell r="K643" t="str">
            <v>Olympus Digital Conference Recoder</v>
          </cell>
          <cell r="N643">
            <v>1</v>
          </cell>
          <cell r="O643" t="str">
            <v>Main offices</v>
          </cell>
        </row>
        <row r="644">
          <cell r="I644" t="str">
            <v>NHC000888</v>
          </cell>
          <cell r="J644" t="str">
            <v>Property, plant &amp; equipment, Movable assets, OFFICE EQUIPMENT AND TOOLS, Other Assets, Olympus Digital Recorder</v>
          </cell>
          <cell r="K644" t="str">
            <v>Olympus Digital Recorder</v>
          </cell>
          <cell r="N644">
            <v>1</v>
          </cell>
          <cell r="O644" t="str">
            <v>Main offices</v>
          </cell>
        </row>
        <row r="645">
          <cell r="I645" t="str">
            <v>NHC000900</v>
          </cell>
          <cell r="J645" t="str">
            <v>Property, plant &amp; equipment, Movable assets, OFFICE EQUIPMENT AND TOOLS, Other Assets, Olympus Digital Recorder</v>
          </cell>
          <cell r="K645" t="str">
            <v>Olympus Digital Recorder</v>
          </cell>
          <cell r="N645">
            <v>1</v>
          </cell>
          <cell r="O645" t="str">
            <v>Main offices</v>
          </cell>
        </row>
        <row r="646">
          <cell r="I646" t="str">
            <v>NHC000897</v>
          </cell>
          <cell r="J646" t="str">
            <v>Property, plant &amp; equipment, Movable assets, OFFICE EQUIPMENT AND TOOLS, Other Assets, Olympus Digital Recorder</v>
          </cell>
          <cell r="K646" t="str">
            <v>Olympus Digital Recorder</v>
          </cell>
          <cell r="N646">
            <v>1</v>
          </cell>
          <cell r="O646" t="str">
            <v>Main offices</v>
          </cell>
        </row>
        <row r="647">
          <cell r="I647" t="str">
            <v>NHC 000560</v>
          </cell>
          <cell r="J647" t="str">
            <v>Property, plant &amp; equipment, Movable assets, OFFICE EQUIPMENT AND TOOLS, Other Assets, Nikon Camera S3000 Red</v>
          </cell>
          <cell r="K647" t="str">
            <v>Nikon Camera S3000 Red</v>
          </cell>
          <cell r="N647">
            <v>1</v>
          </cell>
          <cell r="O647" t="str">
            <v>Main offices</v>
          </cell>
        </row>
        <row r="648">
          <cell r="I648" t="str">
            <v>NHC000457</v>
          </cell>
          <cell r="J648" t="str">
            <v>Property, plant &amp; equipment, Movable assets, OFFICE EQUIPMENT AND TOOLS, Other Assets, Calibra 3 bar Heater</v>
          </cell>
          <cell r="K648" t="str">
            <v>Calibra 3 bar Heater</v>
          </cell>
          <cell r="N648">
            <v>1</v>
          </cell>
          <cell r="O648" t="str">
            <v>Main offices</v>
          </cell>
        </row>
        <row r="649">
          <cell r="I649" t="str">
            <v>NHC000463</v>
          </cell>
          <cell r="J649" t="str">
            <v>Property, plant &amp; equipment, Movable assets, OFFICE EQUIPMENT AND TOOLS, Other Assets, HP Printers</v>
          </cell>
          <cell r="K649" t="str">
            <v>HP Printers</v>
          </cell>
          <cell r="N649">
            <v>1</v>
          </cell>
          <cell r="O649" t="str">
            <v>Main offices</v>
          </cell>
        </row>
        <row r="650">
          <cell r="I650" t="str">
            <v>NHC000441</v>
          </cell>
          <cell r="J650" t="str">
            <v>Property, plant &amp; equipment, Movable assets, OFFICE EQUIPMENT AND TOOLS, Other Assets, HP Printers</v>
          </cell>
          <cell r="K650" t="str">
            <v>HP Printers</v>
          </cell>
          <cell r="N650">
            <v>1</v>
          </cell>
          <cell r="O650" t="str">
            <v>Main offices</v>
          </cell>
        </row>
        <row r="651">
          <cell r="I651" t="str">
            <v>NHC000406</v>
          </cell>
          <cell r="J651" t="str">
            <v>Property, plant &amp; equipment, Movable assets, OFFICE EQUIPMENT AND TOOLS, Other Assets, VCR</v>
          </cell>
          <cell r="K651" t="str">
            <v>VCR</v>
          </cell>
          <cell r="N651">
            <v>1</v>
          </cell>
          <cell r="O651" t="str">
            <v>Main offices</v>
          </cell>
        </row>
        <row r="652">
          <cell r="I652" t="str">
            <v>NHC000403</v>
          </cell>
          <cell r="J652" t="str">
            <v>Property, plant &amp; equipment, Movable assets, OFFICE EQUIPMENT AND TOOLS, Other Assets, Sansui DVD Player</v>
          </cell>
          <cell r="K652" t="str">
            <v>Sansui DVD Player</v>
          </cell>
          <cell r="N652">
            <v>1</v>
          </cell>
          <cell r="O652" t="str">
            <v>Main offices</v>
          </cell>
        </row>
        <row r="653">
          <cell r="I653" t="str">
            <v>NHC00199</v>
          </cell>
          <cell r="J653" t="str">
            <v>Property, plant &amp; equipment, Movable assets, OFFICE EQUIPMENT AND TOOLS, Other Assets, Dual Capsule boundary microphones with 10m ext</v>
          </cell>
          <cell r="K653" t="str">
            <v>Dual Capsule boundary microphones with 10m ext</v>
          </cell>
          <cell r="N653">
            <v>1</v>
          </cell>
          <cell r="O653" t="str">
            <v>Main offices</v>
          </cell>
        </row>
        <row r="654">
          <cell r="I654">
            <v>1156</v>
          </cell>
          <cell r="J654" t="str">
            <v>Property, plant &amp; equipment, Movable assets, FURNITURE AND FITTINGS, Other Assets, Chair Visitors</v>
          </cell>
          <cell r="K654" t="str">
            <v>Chair Visitors</v>
          </cell>
          <cell r="N654">
            <v>1</v>
          </cell>
          <cell r="O654" t="str">
            <v>Main offices</v>
          </cell>
        </row>
        <row r="655">
          <cell r="I655">
            <v>1030</v>
          </cell>
          <cell r="J655" t="str">
            <v>Property, plant &amp; equipment, Movable assets, FURNITURE AND FITTINGS, Other Assets, Tea Trolley</v>
          </cell>
          <cell r="K655" t="str">
            <v>Tea Trolley</v>
          </cell>
          <cell r="N655">
            <v>1</v>
          </cell>
          <cell r="O655" t="str">
            <v>Main offices</v>
          </cell>
        </row>
        <row r="656">
          <cell r="I656" t="str">
            <v>NHC001011</v>
          </cell>
          <cell r="J656" t="str">
            <v>Property, plant &amp; equipment, Movable assets, FURNITURE AND FITTINGS, Other Assets, Eez-Off Swivel Tub Chair</v>
          </cell>
          <cell r="K656" t="str">
            <v>Eez-Off Swivel Tub Chair</v>
          </cell>
          <cell r="N656">
            <v>1</v>
          </cell>
          <cell r="O656" t="str">
            <v>Main offices</v>
          </cell>
        </row>
        <row r="657">
          <cell r="I657" t="str">
            <v>NHC001005</v>
          </cell>
          <cell r="J657" t="str">
            <v>Property, plant &amp; equipment, Movable assets, FURNITURE AND FITTINGS, Other Assets, Amoeba Coffee Table</v>
          </cell>
          <cell r="K657" t="str">
            <v>Amoeba Coffee Table</v>
          </cell>
          <cell r="N657">
            <v>1</v>
          </cell>
          <cell r="O657" t="str">
            <v>Main offices</v>
          </cell>
        </row>
        <row r="658">
          <cell r="I658" t="str">
            <v>NHC000742</v>
          </cell>
          <cell r="J658" t="str">
            <v>Property, plant &amp; equipment, Movable assets, FURNITURE AND FITTINGS, Other Assets, Boardroom Table</v>
          </cell>
          <cell r="K658" t="str">
            <v>Boardroom Table</v>
          </cell>
          <cell r="N658">
            <v>1</v>
          </cell>
          <cell r="O658" t="str">
            <v>Main offices</v>
          </cell>
        </row>
        <row r="659">
          <cell r="I659" t="str">
            <v>NHC830</v>
          </cell>
          <cell r="J659" t="str">
            <v>Property, plant &amp; equipment, Movable assets, FURNITURE AND FITTINGS, Other Assets, Chair visitors</v>
          </cell>
          <cell r="K659" t="str">
            <v>Chair visitors</v>
          </cell>
          <cell r="N659">
            <v>1</v>
          </cell>
          <cell r="O659" t="str">
            <v>Main offices</v>
          </cell>
        </row>
        <row r="660">
          <cell r="I660" t="str">
            <v>NHC000056</v>
          </cell>
          <cell r="J660" t="str">
            <v>Property, plant &amp; equipment, Movable assets, FURNITURE AND FITTINGS, Other Assets, Visitor</v>
          </cell>
          <cell r="K660" t="str">
            <v>Visitor</v>
          </cell>
          <cell r="N660">
            <v>1</v>
          </cell>
          <cell r="O660" t="str">
            <v>Main offices</v>
          </cell>
        </row>
        <row r="661">
          <cell r="I661" t="str">
            <v>NHC000654</v>
          </cell>
          <cell r="J661" t="str">
            <v>Property, plant &amp; equipment, Movable assets, FURNITURE AND FITTINGS, Other Assets, CHAIR VISITOR</v>
          </cell>
          <cell r="K661" t="str">
            <v>CHAIR VISITOR</v>
          </cell>
          <cell r="N661">
            <v>1</v>
          </cell>
          <cell r="O661" t="str">
            <v>Main offices</v>
          </cell>
        </row>
        <row r="662">
          <cell r="I662" t="str">
            <v>NHC000902</v>
          </cell>
          <cell r="J662" t="str">
            <v>Property, plant &amp; equipment, Movable assets, FURNITURE AND FITTINGS, Other Assets, CHAIR VISITOR</v>
          </cell>
          <cell r="K662" t="str">
            <v>CHAIR VISITOR</v>
          </cell>
          <cell r="N662">
            <v>1</v>
          </cell>
          <cell r="O662" t="str">
            <v>Main offices</v>
          </cell>
        </row>
        <row r="663">
          <cell r="I663" t="str">
            <v>NHC000908</v>
          </cell>
          <cell r="J663" t="str">
            <v>Property, plant &amp; equipment, Movable assets, FURNITURE AND FITTINGS, Other Assets, CHAIR VISITORS</v>
          </cell>
          <cell r="K663" t="str">
            <v>CHAIR VISITORS</v>
          </cell>
          <cell r="N663">
            <v>1</v>
          </cell>
          <cell r="O663" t="str">
            <v>Main offices</v>
          </cell>
        </row>
        <row r="664">
          <cell r="I664" t="str">
            <v>NHC000909</v>
          </cell>
          <cell r="J664" t="str">
            <v>Property, plant &amp; equipment, Movable assets, FURNITURE AND FITTINGS, Other Assets, CHAIR VISITORS</v>
          </cell>
          <cell r="K664" t="str">
            <v>CHAIR VISITORS</v>
          </cell>
          <cell r="N664">
            <v>1</v>
          </cell>
          <cell r="O664" t="str">
            <v>Main offices</v>
          </cell>
        </row>
        <row r="665">
          <cell r="I665" t="str">
            <v>NHC000924</v>
          </cell>
          <cell r="J665" t="str">
            <v>Property, plant &amp; equipment, Movable assets, FURNITURE AND FITTINGS, Other Assets, CHAIR HIGHBACK LEATHER</v>
          </cell>
          <cell r="K665" t="str">
            <v>CHAIR HIGHBACK LEATHER</v>
          </cell>
          <cell r="N665">
            <v>1</v>
          </cell>
          <cell r="O665" t="str">
            <v>Main offices</v>
          </cell>
        </row>
        <row r="666">
          <cell r="I666" t="str">
            <v>NHC000847</v>
          </cell>
          <cell r="J666" t="str">
            <v>Property, plant &amp; equipment, Movable assets, FURNITURE AND FITTINGS, Other Assets, Steel Cabinet</v>
          </cell>
          <cell r="K666" t="str">
            <v>Steel Cabinet</v>
          </cell>
          <cell r="N666">
            <v>1</v>
          </cell>
          <cell r="O666" t="str">
            <v>Main offices</v>
          </cell>
        </row>
        <row r="667">
          <cell r="I667" t="str">
            <v>NHC000830</v>
          </cell>
          <cell r="J667" t="str">
            <v>Property, plant &amp; equipment, Movable assets, FURNITURE AND FITTINGS, Other Assets, High Back Chair</v>
          </cell>
          <cell r="K667" t="str">
            <v>High Back Chair</v>
          </cell>
          <cell r="N667">
            <v>1</v>
          </cell>
          <cell r="O667" t="str">
            <v>Main offices</v>
          </cell>
        </row>
        <row r="668">
          <cell r="I668" t="str">
            <v>NHC000456</v>
          </cell>
          <cell r="J668" t="str">
            <v>Property, plant &amp; equipment, Movable assets, FURNITURE AND FITTINGS, Other Assets, Mirror</v>
          </cell>
          <cell r="K668" t="str">
            <v>Mirror</v>
          </cell>
          <cell r="N668">
            <v>1</v>
          </cell>
          <cell r="O668" t="str">
            <v>Main offices</v>
          </cell>
        </row>
        <row r="669">
          <cell r="I669" t="str">
            <v>NHC 000119</v>
          </cell>
          <cell r="J669" t="str">
            <v>Property, plant &amp; equipment, Movable assets, FURNITURE AND FITTINGS, Other Assets, Cupboard</v>
          </cell>
          <cell r="K669" t="str">
            <v>Cupboard</v>
          </cell>
          <cell r="N669">
            <v>1</v>
          </cell>
          <cell r="O669" t="str">
            <v>Main offices</v>
          </cell>
        </row>
        <row r="670">
          <cell r="I670" t="str">
            <v>NHC 000577</v>
          </cell>
          <cell r="J670" t="str">
            <v>Property, plant &amp; equipment, Movable assets, FURNITURE AND FITTINGS, Other Assets, Curtain X 1 Pair Double Pinch Pleat</v>
          </cell>
          <cell r="K670" t="str">
            <v>Curtain X 1 Pair Double Pinch Pleat</v>
          </cell>
          <cell r="N670">
            <v>1</v>
          </cell>
          <cell r="O670" t="str">
            <v>Main offices</v>
          </cell>
        </row>
        <row r="671">
          <cell r="I671" t="str">
            <v>NHC000528</v>
          </cell>
          <cell r="J671" t="str">
            <v>Property, plant &amp; equipment, Movable assets, FURNITURE AND FITTINGS, Other Assets, Built In Cupboard</v>
          </cell>
          <cell r="K671" t="str">
            <v>Built In Cupboard</v>
          </cell>
          <cell r="N671">
            <v>1</v>
          </cell>
          <cell r="O671" t="str">
            <v>Main offices</v>
          </cell>
        </row>
        <row r="672">
          <cell r="I672" t="str">
            <v>NHC000519</v>
          </cell>
          <cell r="J672" t="str">
            <v>Property, plant &amp; equipment, Movable assets, FURNITURE AND FITTINGS, Other Assets, Hinged Door Cabinet</v>
          </cell>
          <cell r="K672" t="str">
            <v>Hinged Door Cabinet</v>
          </cell>
          <cell r="N672">
            <v>1</v>
          </cell>
          <cell r="O672" t="str">
            <v>Main offices</v>
          </cell>
        </row>
        <row r="673">
          <cell r="I673" t="str">
            <v>NHC000524</v>
          </cell>
          <cell r="J673" t="str">
            <v>Property, plant &amp; equipment, Movable assets, FURNITURE AND FITTINGS, Other Assets, Antique Freestanding L-Ext-No Inlay</v>
          </cell>
          <cell r="K673" t="str">
            <v>Antique Freestanding L-Ext-No Inlay</v>
          </cell>
          <cell r="N673">
            <v>1</v>
          </cell>
          <cell r="O673" t="str">
            <v>Main offices</v>
          </cell>
        </row>
        <row r="674">
          <cell r="I674" t="str">
            <v>NHC000375</v>
          </cell>
          <cell r="J674" t="str">
            <v>Property, plant &amp; equipment, Movable assets, FURNITURE AND FITTINGS, Other Assets, Armchair</v>
          </cell>
          <cell r="K674" t="str">
            <v>Armchair</v>
          </cell>
          <cell r="N674">
            <v>1</v>
          </cell>
          <cell r="O674" t="str">
            <v>Main offices</v>
          </cell>
        </row>
        <row r="675">
          <cell r="I675" t="str">
            <v>NHC000358</v>
          </cell>
          <cell r="J675" t="str">
            <v>Property, plant &amp; equipment, Movable assets, FURNITURE AND FITTINGS, Other Assets, Artwok</v>
          </cell>
          <cell r="K675" t="str">
            <v>Artwok</v>
          </cell>
          <cell r="N675">
            <v>1</v>
          </cell>
          <cell r="O675" t="str">
            <v>Main offices</v>
          </cell>
        </row>
        <row r="676">
          <cell r="I676" t="str">
            <v>NHC000349</v>
          </cell>
          <cell r="J676" t="str">
            <v>Property, plant &amp; equipment, Movable assets, FURNITURE AND FITTINGS, Other Assets, Side Table with Glass Top</v>
          </cell>
          <cell r="K676" t="str">
            <v>Side Table with Glass Top</v>
          </cell>
          <cell r="N676">
            <v>1</v>
          </cell>
          <cell r="O676" t="str">
            <v>Main offices</v>
          </cell>
        </row>
        <row r="677">
          <cell r="I677" t="str">
            <v>NHC 000330</v>
          </cell>
          <cell r="J677" t="str">
            <v>Property, plant &amp; equipment, Movable assets, FURNITURE AND FITTINGS, Other Assets, Cutain x 1 Pair Double Pinch Pleat</v>
          </cell>
          <cell r="K677" t="str">
            <v>Cutain x 1 Pair Double Pinch Pleat</v>
          </cell>
          <cell r="N677">
            <v>1</v>
          </cell>
          <cell r="O677" t="str">
            <v>Main offices</v>
          </cell>
        </row>
        <row r="678">
          <cell r="I678" t="str">
            <v>NHC 00323</v>
          </cell>
          <cell r="J678" t="str">
            <v>Property, plant &amp; equipment, Movable assets, FURNITURE AND FITTINGS, Other Assets, Artifacts/Broken from CEO</v>
          </cell>
          <cell r="K678" t="str">
            <v>Artifacts/Broken from CEO</v>
          </cell>
          <cell r="N678">
            <v>1</v>
          </cell>
          <cell r="O678" t="str">
            <v>Main offices</v>
          </cell>
        </row>
        <row r="679">
          <cell r="I679" t="str">
            <v>NHC000298</v>
          </cell>
          <cell r="J679" t="str">
            <v>Property, plant &amp; equipment, Movable assets, FURNITURE AND FITTINGS, Other Assets, Table Extension</v>
          </cell>
          <cell r="K679" t="str">
            <v>Table Extension</v>
          </cell>
          <cell r="N679">
            <v>1</v>
          </cell>
          <cell r="O679" t="str">
            <v>Main offices</v>
          </cell>
        </row>
        <row r="680">
          <cell r="I680" t="str">
            <v>NHC0079</v>
          </cell>
          <cell r="J680" t="str">
            <v>Property, plant &amp; equipment, Movable assets, FURNITURE AND FITTINGS, Other Assets, Vesta visitors armchair, leather</v>
          </cell>
          <cell r="K680" t="str">
            <v>Vesta visitors armchair,leather</v>
          </cell>
          <cell r="N680">
            <v>1</v>
          </cell>
          <cell r="O680" t="str">
            <v>Main offices</v>
          </cell>
        </row>
        <row r="681">
          <cell r="I681" t="str">
            <v>NHC115</v>
          </cell>
          <cell r="J681" t="str">
            <v>Property, plant &amp; equipment, Movable assets, FURNITURE AND FITTINGS, Other Assets, Vesta highback, swivel &amp; tilt, gas height, leather</v>
          </cell>
          <cell r="K681" t="str">
            <v>Vesta highback,swivel &amp; tilt,gas height,leather</v>
          </cell>
          <cell r="N681">
            <v>1</v>
          </cell>
          <cell r="O681" t="str">
            <v>Main offices</v>
          </cell>
        </row>
        <row r="682">
          <cell r="I682" t="str">
            <v>NHC0083</v>
          </cell>
          <cell r="J682" t="str">
            <v>Property, plant &amp; equipment, Movable assets, FURNITURE AND FITTINGS, Other Assets, 1500*750mm Reception desk with modesty panel</v>
          </cell>
          <cell r="K682" t="str">
            <v>1500*750mm Reception desk with modesty panel</v>
          </cell>
          <cell r="N682">
            <v>1</v>
          </cell>
          <cell r="O682" t="str">
            <v>Main offices</v>
          </cell>
        </row>
        <row r="683">
          <cell r="I683" t="str">
            <v>NHC04/2019-25(353)</v>
          </cell>
          <cell r="J683" t="str">
            <v>Property, plant &amp; equipment, Movable assets, LEASEHOLD IMPROVEMENTS, Other Assets, Cameras</v>
          </cell>
          <cell r="K683" t="str">
            <v>Cameras</v>
          </cell>
          <cell r="N683">
            <v>1</v>
          </cell>
          <cell r="O683" t="str">
            <v>Main offices</v>
          </cell>
        </row>
        <row r="684">
          <cell r="I684" t="str">
            <v>NHC03/2019-25(353)</v>
          </cell>
          <cell r="J684" t="str">
            <v>Property, plant &amp; equipment, Movable assets, LEASEHOLD IMPROVEMENTS, Other Assets, Biometric Access Control System</v>
          </cell>
          <cell r="K684" t="str">
            <v>Biometric Access Control System</v>
          </cell>
          <cell r="N684">
            <v>1</v>
          </cell>
          <cell r="O684" t="str">
            <v>Main offices</v>
          </cell>
        </row>
        <row r="685">
          <cell r="I685" t="str">
            <v>NHC02/2019-25(353)</v>
          </cell>
          <cell r="J685" t="str">
            <v>Property, plant &amp; equipment, Movable assets, LEASEHOLD IMPROVEMENTS, Other Assets, Smart Wired Alarm System</v>
          </cell>
          <cell r="K685" t="str">
            <v>Smart Wired Alarm System</v>
          </cell>
          <cell r="N685">
            <v>1</v>
          </cell>
          <cell r="O685" t="str">
            <v>Main offices</v>
          </cell>
        </row>
        <row r="686">
          <cell r="I686" t="str">
            <v>NHC01/2019-25(353)</v>
          </cell>
          <cell r="J686" t="str">
            <v>Property, plant &amp; equipment, Movable assets, LEASEHOLD IMPROVEMENTS, Other Assets, BUILDING ENHANCEMENT</v>
          </cell>
          <cell r="K686" t="str">
            <v>BUILDING ENHANCEMENT</v>
          </cell>
          <cell r="N686">
            <v>1</v>
          </cell>
          <cell r="O686" t="str">
            <v>Main offices</v>
          </cell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roposed journals"/>
      <sheetName val="Tie-in"/>
      <sheetName val="Disclosure per Register"/>
      <sheetName val="FAR Pivot"/>
      <sheetName val="NHC_FAR"/>
      <sheetName val="Sheet1"/>
      <sheetName val="Intangible FAR"/>
      <sheetName val="Proposed Jnls Intangibles"/>
      <sheetName val="Additions"/>
      <sheetName val="Sheet2"/>
      <sheetName val="NHC FAR 2024-25 Movables regist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ndisi Peza" refreshedDate="45985.559206018515" createdVersion="5" refreshedVersion="8" minRefreshableVersion="3" recordCount="543" xr:uid="{00000000-000A-0000-FFFF-FFFF03000000}">
  <cacheSource type="worksheet">
    <worksheetSource name="FAR"/>
  </cacheSource>
  <cacheFields count="83">
    <cacheField name="Component ID/ Bar code" numFmtId="0">
      <sharedItems containsBlank="1" containsMixedTypes="1" containsNumber="1" containsInteger="1" minValue="688" maxValue="11623"/>
    </cacheField>
    <cacheField name="ROOM ID" numFmtId="0">
      <sharedItems containsBlank="1" containsMixedTypes="1" containsNumber="1" containsInteger="1" minValue="0" maxValue="32"/>
    </cacheField>
    <cacheField name="Code1" numFmtId="0">
      <sharedItems containsBlank="1"/>
    </cacheField>
    <cacheField name="Accounting Group (Level 1)" numFmtId="0">
      <sharedItems containsBlank="1" count="2">
        <s v="Property, plant &amp; equipment"/>
        <m/>
      </sharedItems>
    </cacheField>
    <cacheField name="Code2" numFmtId="0">
      <sharedItems containsBlank="1"/>
    </cacheField>
    <cacheField name="Asset Category (Level 2)" numFmtId="0">
      <sharedItems containsBlank="1" count="5">
        <s v="Movable assets"/>
        <m/>
        <s v="Land and buildings" u="1"/>
        <s v="INFRASTRUCTURE ASSET" u="1"/>
        <s v="Infrastructure assets" u="1"/>
      </sharedItems>
    </cacheField>
    <cacheField name="Code3" numFmtId="0">
      <sharedItems containsBlank="1"/>
    </cacheField>
    <cacheField name="Asset Sub Category (Level 3)" numFmtId="0">
      <sharedItems containsBlank="1" count="35">
        <s v="FURNITURE AND FITTINGS"/>
        <s v="OFFICE EQUIPMENT AND TOOLS"/>
        <s v="COMPUTER EQUIPMENT"/>
        <s v="MOTOR VEHICLES"/>
        <s v="LEASEHOLD IMPROVEMENTS"/>
        <m/>
        <s v="Information, communication and telecommunication network" u="1"/>
        <s v="MISCELLANEOUS" u="1"/>
        <s v="Road Network" u="1"/>
        <s v="Community facilities" u="1"/>
        <s v="COMPUTER HARDWARE" u="1"/>
        <s v="Stormwater network" u="1"/>
        <s v="PLANT AND MACHINERY" u="1"/>
        <s v="IT EQ" u="1"/>
        <s v="Servitudes" u="1"/>
        <s v="OFFICE EQUIPMENT" u="1"/>
        <s v="Sport and recreation facilities " u="1"/>
        <s v="Machinery and Equipment" u="1"/>
        <s v="OTHER ASSETS" u="1"/>
        <s v="TRANSPORT ASSETS" u="1"/>
        <s v="Electricity network" u="1"/>
        <s v="Movable Assets" u="1"/>
        <s v="FURNITURE &amp; FITTINGS" u="1"/>
        <s v="COMPUTER SOFTWARE" u="1"/>
        <s v="Official Vehicles" u="1"/>
        <s v="Land" u="1"/>
        <s v="Operational facilities" u="1"/>
        <s v="EMERGENCY EQUIPMENT" u="1"/>
        <s v="Bridges" u="1"/>
        <s v="EQUIPMENT: OTHER" u="1"/>
        <s v="BUILDINGS AND INSTALLATIONS" u="1"/>
        <s v="Sanitation network" u="1"/>
        <s v="FURNITURE AND OFFICE EQUIPMENT" u="1"/>
        <s v="EQUIPMENT AND TOOLS" u="1"/>
        <s v="Water supply network" u="1"/>
      </sharedItems>
    </cacheField>
    <cacheField name="Code4" numFmtId="0">
      <sharedItems containsBlank="1"/>
    </cacheField>
    <cacheField name="Asset Group (Level 4)" numFmtId="0">
      <sharedItems containsBlank="1"/>
    </cacheField>
    <cacheField name="Asset Facility Sub-name / Area" numFmtId="0">
      <sharedItems containsBlank="1"/>
    </cacheField>
    <cacheField name="LOCATION" numFmtId="0">
      <sharedItems containsBlank="1"/>
    </cacheField>
    <cacheField name="Code5" numFmtId="0">
      <sharedItems containsBlank="1"/>
    </cacheField>
    <cacheField name="Asset Type (Level 5)" numFmtId="0">
      <sharedItems containsBlank="1"/>
    </cacheField>
    <cacheField name="Code6" numFmtId="0">
      <sharedItems containsBlank="1"/>
    </cacheField>
    <cacheField name="Asset Component (Level 6)" numFmtId="0">
      <sharedItems containsNonDate="0" containsString="0" containsBlank="1"/>
    </cacheField>
    <cacheField name="Descriptor_x000a_Selection" numFmtId="0">
      <sharedItems containsBlank="1"/>
    </cacheField>
    <cacheField name="Accounting model applied" numFmtId="0">
      <sharedItems containsBlank="1"/>
    </cacheField>
    <cacheField name="Ownership" numFmtId="0">
      <sharedItems containsBlank="1"/>
    </cacheField>
    <cacheField name="Function importance" numFmtId="0">
      <sharedItems containsBlank="1"/>
    </cacheField>
    <cacheField name="Sub class Item" numFmtId="0">
      <sharedItems containsBlank="1" count="24">
        <s v="Other Assets"/>
        <m/>
        <s v="Buildings" u="1"/>
        <s v="Storm water Infrastructure" u="1"/>
        <s v="Community Assets" u="1"/>
        <s v="Update of Mscoa table needed" u="1"/>
        <s v="MV Networks" u="1"/>
        <s v="Other Land" u="1"/>
        <s v="Libraries" u="1"/>
        <s v="Other Buildings" u="1"/>
        <s v="Solid Waste Infrastructure" u="1"/>
        <s v="Bulk Mains" u="1"/>
        <s v="Land" u="1"/>
        <s v="Building Instalations" u="1"/>
        <s v="Sanitation Infrastructure" u="1"/>
        <s v="Information and Communication Infrastructure" u="1"/>
        <s v="Distribution" u="1"/>
        <s v="Vehcles" u="1"/>
        <s v="MV Substations" u="1"/>
        <s v="LV Networks" u="1"/>
        <s v="Roads Infrastructure" u="1"/>
        <s v="Boreholes" u="1"/>
        <s v="Reservoirs" u="1"/>
        <s v="Pump Stations" u="1"/>
      </sharedItems>
    </cacheField>
    <cacheField name="MSCOA Function Class" numFmtId="0">
      <sharedItems containsBlank="1"/>
    </cacheField>
    <cacheField name="SCOA Function Code" numFmtId="0">
      <sharedItems containsBlank="1"/>
    </cacheField>
    <cacheField name="mSCOA Asset ID" numFmtId="0">
      <sharedItems containsBlank="1"/>
    </cacheField>
    <cacheField name="Extent" numFmtId="165">
      <sharedItems containsString="0" containsBlank="1" containsNumber="1" containsInteger="1" minValue="1" maxValue="1"/>
    </cacheField>
    <cacheField name="Purchase Date" numFmtId="15">
      <sharedItems containsDate="1" containsBlank="1" containsMixedTypes="1" minDate="2004-04-01T00:00:00" maxDate="2025-06-04T00:00:00"/>
    </cacheField>
    <cacheField name="Take-On Date [dd-mm-yy]" numFmtId="15">
      <sharedItems containsNonDate="0" containsDate="1" containsString="0" containsBlank="1" minDate="2004-03-25T00:00:00" maxDate="2025-06-04T00:00:00"/>
    </cacheField>
    <cacheField name="Leased?" numFmtId="0">
      <sharedItems containsBlank="1"/>
    </cacheField>
    <cacheField name="Movable asset?" numFmtId="0">
      <sharedItems containsBlank="1"/>
    </cacheField>
    <cacheField name="Reporting date" numFmtId="169">
      <sharedItems containsNonDate="0" containsDate="1" containsString="0" containsBlank="1" minDate="2022-03-31T00:00:00" maxDate="2025-04-01T00:00:00"/>
    </cacheField>
    <cacheField name="Cost unit rate [@ recognition date]" numFmtId="44">
      <sharedItems containsBlank="1"/>
    </cacheField>
    <cacheField name="EUL" numFmtId="1">
      <sharedItems containsString="0" containsBlank="1" containsNumber="1" containsInteger="1" minValue="3" maxValue="6"/>
    </cacheField>
    <cacheField name="Residual %" numFmtId="9">
      <sharedItems containsString="0" containsBlank="1" containsNumber="1" containsInteger="1" minValue="0" maxValue="0"/>
    </cacheField>
    <cacheField name="Residual Value" numFmtId="0">
      <sharedItems containsString="0" containsBlank="1" containsNumber="1" containsInteger="1" minValue="0" maxValue="0"/>
    </cacheField>
    <cacheField name="Accounting Policy Change confirmation" numFmtId="0">
      <sharedItems containsBlank="1"/>
    </cacheField>
    <cacheField name="Years utilised in Days " numFmtId="0">
      <sharedItems containsString="0" containsBlank="1" containsNumber="1" containsInteger="1" minValue="41" maxValue="45747"/>
    </cacheField>
    <cacheField name="Years utilised in Years" numFmtId="165">
      <sharedItems containsString="0" containsBlank="1" containsNumber="1" minValue="0.11232876712328767" maxValue="125.33424657534246"/>
    </cacheField>
    <cacheField name="Opening RUL" numFmtId="2">
      <sharedItems containsString="0" containsBlank="1" containsNumber="1" minValue="-119.33424657534246" maxValue="5.8876712328767127"/>
    </cacheField>
    <cacheField name="RUL Adjustment" numFmtId="0">
      <sharedItems containsString="0" containsBlank="1" containsNumber="1" containsInteger="1" minValue="0" maxValue="0"/>
    </cacheField>
    <cacheField name="Opening RUL 30 June 2026" numFmtId="2">
      <sharedItems containsString="0" containsBlank="1" containsNumber="1" minValue="-119.33424657534246" maxValue="5.8876712328767127"/>
    </cacheField>
    <cacheField name="Closing RUL - June 2026" numFmtId="2">
      <sharedItems containsString="0" containsBlank="1" containsNumber="1" minValue="-119.33424657534246" maxValue="5.8876712328767127"/>
    </cacheField>
    <cacheField name="Condition Rate" numFmtId="2">
      <sharedItems containsBlank="1" containsMixedTypes="1" containsNumber="1" containsInteger="1" minValue="0" maxValue="0"/>
    </cacheField>
    <cacheField name="Condition" numFmtId="2">
      <sharedItems containsNonDate="0" containsString="0" containsBlank="1"/>
    </cacheField>
    <cacheField name="Valuation method" numFmtId="0">
      <sharedItems containsBlank="1"/>
    </cacheField>
    <cacheField name="Cost Price (opening balance)" numFmtId="168">
      <sharedItems containsString="0" containsBlank="1" containsNumber="1" minValue="0" maxValue="4729676.1274999995"/>
    </cacheField>
    <cacheField name="Additions capitalised (@actual cost)" numFmtId="168">
      <sharedItems containsString="0" containsBlank="1" containsNumber="1" minValue="10728.35" maxValue="10728.35"/>
    </cacheField>
    <cacheField name="Revaluation Adjustment Cost" numFmtId="168">
      <sharedItems containsString="0" containsBlank="1" containsNumber="1" containsInteger="1" minValue="0" maxValue="0"/>
    </cacheField>
    <cacheField name="Derecognitions [-]" numFmtId="168">
      <sharedItems containsString="0" containsBlank="1" containsNumber="1" containsInteger="1" minValue="0" maxValue="0"/>
    </cacheField>
    <cacheField name="Derecognition costs" numFmtId="168">
      <sharedItems containsString="0" containsBlank="1" containsNumber="1" containsInteger="1" minValue="0" maxValue="0"/>
    </cacheField>
    <cacheField name="Cost Price (closing balance)" numFmtId="168">
      <sharedItems containsString="0" containsBlank="1" containsNumber="1" minValue="0" maxValue="4729676.1274999995"/>
    </cacheField>
    <cacheField name="Carrying value (opening balance)" numFmtId="168">
      <sharedItems containsString="0" containsBlank="1" containsNumber="1" minValue="0" maxValue="4176110.4883246571"/>
    </cacheField>
    <cacheField name="Revaluation Value" numFmtId="168">
      <sharedItems containsString="0" containsBlank="1" containsNumber="1" containsInteger="1" minValue="0" maxValue="0"/>
    </cacheField>
    <cacheField name="Provision on rehabilitation cost" numFmtId="168">
      <sharedItems containsNonDate="0" containsString="0" containsBlank="1"/>
    </cacheField>
    <cacheField name="Fairvalue adjustment" numFmtId="168">
      <sharedItems containsString="0" containsBlank="1" containsNumber="1" containsInteger="1" minValue="0" maxValue="0"/>
    </cacheField>
    <cacheField name="Accumulated depreciation (Opening balance)" numFmtId="168">
      <sharedItems containsString="0" containsBlank="1" containsNumber="1" minValue="-785255.81733287673" maxValue="0"/>
    </cacheField>
    <cacheField name="Revaluation adjustment Opening Accumulative depreciation" numFmtId="168">
      <sharedItems containsNonDate="0" containsString="0" containsBlank="1"/>
    </cacheField>
    <cacheField name="Change in Accounting Policy" numFmtId="168">
      <sharedItems containsBlank="1"/>
    </cacheField>
    <cacheField name="Error Comments" numFmtId="165">
      <sharedItems containsNonDate="0" containsString="0" containsBlank="1"/>
    </cacheField>
    <cacheField name="Correction of RUL errors" numFmtId="168">
      <sharedItems containsNonDate="0" containsString="0" containsBlank="1"/>
    </cacheField>
    <cacheField name="Depreciation YTD" numFmtId="168">
      <sharedItems containsString="0" containsBlank="1" containsNumber="1" minValue="-945935.22549999983" maxValue="0"/>
    </cacheField>
    <cacheField name="Monthly depreciation" numFmtId="168">
      <sharedItems containsSemiMixedTypes="0" containsString="0" containsNumber="1" minValue="-78827.935458333319" maxValue="0"/>
    </cacheField>
    <cacheField name="Change in useful life effect" numFmtId="168">
      <sharedItems containsNonDate="0" containsString="0" containsBlank="1"/>
    </cacheField>
    <cacheField name="Depreciation Method" numFmtId="168">
      <sharedItems containsBlank="1"/>
    </cacheField>
    <cacheField name="Derecognitions (acc dep) [+]" numFmtId="168">
      <sharedItems containsString="0" containsBlank="1" containsNumber="1" containsInteger="1" minValue="0" maxValue="0"/>
    </cacheField>
    <cacheField name="Accumulated depreciation (Closing balance)" numFmtId="168">
      <sharedItems containsString="0" containsBlank="1" containsNumber="1" minValue="-1731191.0428328766" maxValue="0"/>
    </cacheField>
    <cacheField name="Accumulated impairments (Opening balance)" numFmtId="168">
      <sharedItems containsString="0" containsBlank="1" containsNumber="1" minValue="-36119.178082191778" maxValue="-5525.4874471361591"/>
    </cacheField>
    <cacheField name="Revaluation adjustment: Opening Accumulative impairments" numFmtId="168">
      <sharedItems containsString="0" containsBlank="1" containsNumber="1" containsInteger="1" minValue="0" maxValue="0"/>
    </cacheField>
    <cacheField name="Annual impairment" numFmtId="168">
      <sharedItems containsNonDate="0" containsString="0" containsBlank="1"/>
    </cacheField>
    <cacheField name="Derecognition Impairment balance [+]" numFmtId="168">
      <sharedItems containsNonDate="0" containsString="0" containsBlank="1"/>
    </cacheField>
    <cacheField name="Accumulated impairments (Closing balance)" numFmtId="168">
      <sharedItems containsSemiMixedTypes="0" containsString="0" containsNumber="1" minValue="-36119.178082191778" maxValue="0"/>
    </cacheField>
    <cacheField name="Carrying value (closing balance)" numFmtId="168">
      <sharedItems containsString="0" containsBlank="1" containsNumber="1" minValue="-6395.8048127853945" maxValue="3403932.0039079906"/>
    </cacheField>
    <cacheField name="Derecognitions date " numFmtId="168">
      <sharedItems containsString="0" containsBlank="1" containsNumber="1" minValue="-785255.81733287673" maxValue="0"/>
    </cacheField>
    <cacheField name="Depreciation if no impairment took place - Depreciation" numFmtId="168">
      <sharedItems containsNonDate="0" containsString="0" containsBlank="1"/>
    </cacheField>
    <cacheField name="Depreciation if no impairment took place - Accumulative total" numFmtId="168">
      <sharedItems containsBlank="1"/>
    </cacheField>
    <cacheField name="Method Acquired" numFmtId="0">
      <sharedItems containsBlank="1"/>
    </cacheField>
    <cacheField name="Funding type" numFmtId="0">
      <sharedItems containsBlank="1"/>
    </cacheField>
    <cacheField name="DEPARTMENT" numFmtId="0">
      <sharedItems containsNonDate="0" containsString="0" containsBlank="1"/>
    </cacheField>
    <cacheField name="Asset Custodian/ Responsible Person" numFmtId="0">
      <sharedItems containsBlank="1" containsMixedTypes="1" containsNumber="1" containsInteger="1" minValue="0" maxValue="0"/>
    </cacheField>
    <cacheField name="S/N" numFmtId="0">
      <sharedItems containsBlank="1"/>
    </cacheField>
    <cacheField name="Make" numFmtId="0">
      <sharedItems containsNonDate="0" containsString="0" containsBlank="1"/>
    </cacheField>
    <cacheField name="Model" numFmtId="0">
      <sharedItems containsNonDate="0" containsString="0" containsBlank="1"/>
    </cacheField>
    <cacheField name="Insurance" numFmtId="0">
      <sharedItems containsNonDate="0" containsString="0" containsBlank="1"/>
    </cacheField>
    <cacheField name="Column1" numFmtId="168">
      <sharedItems containsString="0" containsBlank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43">
  <r>
    <s v="NHC171"/>
    <s v="Open plan finance"/>
    <s v="PPE"/>
    <x v="0"/>
    <s v="MOV"/>
    <x v="0"/>
    <s v="OTH"/>
    <x v="0"/>
    <s v="OTH"/>
    <s v="Other Assets"/>
    <s v="Main offices"/>
    <s v="Main offices"/>
    <s v="OTH"/>
    <s v="Lockable TV Cabinet"/>
    <s v="OTH"/>
    <m/>
    <s v="Lockable TV Cabinet"/>
    <s v="Cost Model"/>
    <s v="Owned"/>
    <s v="Core"/>
    <x v="0"/>
    <s v="Finance and Administration : Asset Management"/>
    <s v="FX005002001000000000000000000000000"/>
    <s v="IA002015001018001001000000000000000000"/>
    <n v="1"/>
    <s v="16/04/2004"/>
    <d v="2004-04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6384"/>
    <m/>
    <n v="0"/>
    <n v="0"/>
    <n v="0"/>
    <n v="6384"/>
    <n v="354.66666666666606"/>
    <n v="0"/>
    <m/>
    <m/>
    <n v="-6029.3333333333339"/>
    <m/>
    <s v="NO"/>
    <m/>
    <m/>
    <n v="-354.66666666666606"/>
    <n v="-29.555555555555504"/>
    <m/>
    <s v="Straight line"/>
    <n v="0"/>
    <n v="-6384"/>
    <m/>
    <m/>
    <m/>
    <m/>
    <n v="0"/>
    <n v="0"/>
    <m/>
    <m/>
    <m/>
    <s v="Purchased"/>
    <s v="Own funding"/>
    <m/>
    <s v="L.Mashilo"/>
    <m/>
    <m/>
    <m/>
    <m/>
    <m/>
  </r>
  <r>
    <s v="NHC172"/>
    <s v="Basement "/>
    <s v="PPE"/>
    <x v="0"/>
    <s v="MOV"/>
    <x v="0"/>
    <s v="OTH"/>
    <x v="0"/>
    <s v="OTH"/>
    <s v="Other Assets"/>
    <s v="Main offices"/>
    <s v="Main offices"/>
    <s v="OTH"/>
    <s v="1000X600mm Coffee Table"/>
    <s v="OTH"/>
    <m/>
    <s v="1000X600mm Coffee Table"/>
    <s v="Cost Model"/>
    <s v="Owned"/>
    <s v="Core"/>
    <x v="0"/>
    <s v="Finance and Administration : Asset Management"/>
    <s v="FX005002001000000000000000000000000"/>
    <s v="IA002015001018001001000000000000000000"/>
    <n v="1"/>
    <s v="16/04/2004"/>
    <d v="2004-04-16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2394"/>
    <m/>
    <n v="0"/>
    <n v="0"/>
    <n v="0"/>
    <n v="2394"/>
    <n v="133"/>
    <n v="0"/>
    <m/>
    <m/>
    <n v="-2261"/>
    <m/>
    <s v="NO"/>
    <m/>
    <m/>
    <n v="-133"/>
    <n v="-11.083333333333334"/>
    <m/>
    <s v="Straight line"/>
    <n v="0"/>
    <n v="-2394"/>
    <m/>
    <m/>
    <m/>
    <m/>
    <n v="0"/>
    <n v="0"/>
    <m/>
    <m/>
    <m/>
    <s v="Purchased"/>
    <s v="Own funding"/>
    <m/>
    <s v="S.Skenjana"/>
    <m/>
    <m/>
    <m/>
    <m/>
    <m/>
  </r>
  <r>
    <s v="NHC123"/>
    <s v="R8 executive office"/>
    <s v="PPE"/>
    <x v="0"/>
    <s v="MOV"/>
    <x v="0"/>
    <s v="OTH"/>
    <x v="0"/>
    <s v="OTH"/>
    <s v="Other Assets"/>
    <s v="Main offices"/>
    <s v="Main offices"/>
    <s v="OTH"/>
    <s v="1500*750mm Reception desk with Modesty panel"/>
    <s v="OTH"/>
    <m/>
    <s v="1500*750mm Reception desk with Modesty panel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6460.38"/>
    <m/>
    <n v="0"/>
    <n v="0"/>
    <n v="0"/>
    <n v="6460.38"/>
    <n v="358.91000000000076"/>
    <n v="0"/>
    <m/>
    <m/>
    <n v="-6101.4699999999993"/>
    <m/>
    <s v="NO"/>
    <m/>
    <m/>
    <n v="-358.91000000000076"/>
    <n v="-29.909166666666732"/>
    <m/>
    <s v="Straight line"/>
    <n v="0"/>
    <n v="-6460.38"/>
    <m/>
    <m/>
    <m/>
    <m/>
    <n v="0"/>
    <n v="0"/>
    <m/>
    <m/>
    <m/>
    <s v="Purchased"/>
    <s v="Own funding"/>
    <m/>
    <s v="N. Ngabeni"/>
    <m/>
    <m/>
    <m/>
    <m/>
    <m/>
  </r>
  <r>
    <s v="NHC127"/>
    <s v="Basement storage "/>
    <s v="PPE"/>
    <x v="0"/>
    <s v="MOV"/>
    <x v="0"/>
    <s v="OTH"/>
    <x v="0"/>
    <s v="OTH"/>
    <s v="Other Assets"/>
    <s v="Main offices"/>
    <s v="Main offices"/>
    <s v="OTH"/>
    <s v="950*950mm Coffee Table"/>
    <s v="OTH"/>
    <m/>
    <s v="950*950mm Coffee Table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5 - Very poor (0-10%)"/>
    <m/>
    <s v="Actual Cost"/>
    <n v="3780.24"/>
    <m/>
    <n v="0"/>
    <n v="0"/>
    <n v="0"/>
    <n v="3780.24"/>
    <n v="210.01333333333332"/>
    <n v="0"/>
    <m/>
    <m/>
    <n v="-3570.2266666666665"/>
    <m/>
    <s v="NO"/>
    <m/>
    <m/>
    <n v="-210.01333333333332"/>
    <n v="-17.501111111111111"/>
    <m/>
    <s v="Straight line"/>
    <n v="0"/>
    <n v="-3780.24"/>
    <m/>
    <m/>
    <m/>
    <m/>
    <n v="0"/>
    <n v="0"/>
    <m/>
    <m/>
    <m/>
    <s v="Purchased"/>
    <s v="Own funding"/>
    <m/>
    <s v="S. Skenjana"/>
    <m/>
    <m/>
    <m/>
    <m/>
    <m/>
  </r>
  <r>
    <s v="NHC128"/>
    <s v="R8 executive office"/>
    <s v="PPE"/>
    <x v="0"/>
    <s v="MOV"/>
    <x v="0"/>
    <s v="OTH"/>
    <x v="0"/>
    <s v="OTH"/>
    <s v="Other Assets"/>
    <s v="Main offices"/>
    <s v="Main offices"/>
    <s v="OTH"/>
    <s v="Traditional Cane Chair"/>
    <s v="OTH"/>
    <m/>
    <s v="Traditional Cane Chair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2560.44"/>
    <m/>
    <n v="0"/>
    <n v="0"/>
    <n v="0"/>
    <n v="2560.44"/>
    <n v="142.24666666666644"/>
    <n v="0"/>
    <m/>
    <m/>
    <n v="-2418.1933333333336"/>
    <m/>
    <s v="NO"/>
    <m/>
    <m/>
    <n v="-142.24666666666644"/>
    <n v="-11.85388888888887"/>
    <m/>
    <s v="Straight line"/>
    <n v="0"/>
    <n v="-2560.44"/>
    <m/>
    <m/>
    <m/>
    <m/>
    <n v="0"/>
    <n v="0"/>
    <m/>
    <m/>
    <m/>
    <s v="Purchased"/>
    <s v="Own funding"/>
    <m/>
    <s v="M. Davids"/>
    <m/>
    <m/>
    <m/>
    <m/>
    <m/>
  </r>
  <r>
    <s v="NHC129"/>
    <s v="R8 executive office"/>
    <s v="PPE"/>
    <x v="0"/>
    <s v="MOV"/>
    <x v="0"/>
    <s v="OTH"/>
    <x v="0"/>
    <s v="OTH"/>
    <s v="Other Assets"/>
    <s v="Main offices"/>
    <s v="Main offices"/>
    <s v="OTH"/>
    <s v="Traditional Cane Chair"/>
    <s v="OTH"/>
    <m/>
    <s v="Traditional Cane Chair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560.44"/>
    <m/>
    <n v="0"/>
    <n v="0"/>
    <n v="0"/>
    <n v="2560.44"/>
    <n v="142.24666666666644"/>
    <n v="0"/>
    <m/>
    <m/>
    <n v="-2418.1933333333336"/>
    <m/>
    <s v="NO"/>
    <m/>
    <m/>
    <n v="-142.24666666666644"/>
    <n v="-11.85388888888887"/>
    <m/>
    <s v="Straight line"/>
    <n v="0"/>
    <n v="-2560.44"/>
    <m/>
    <m/>
    <m/>
    <m/>
    <n v="0"/>
    <n v="0"/>
    <m/>
    <m/>
    <m/>
    <s v="Purchased"/>
    <s v="Own funding"/>
    <m/>
    <s v="N. Ngabeni"/>
    <m/>
    <m/>
    <m/>
    <m/>
    <m/>
  </r>
  <r>
    <s v="NHC130"/>
    <s v="Open Plan Finance "/>
    <s v="PPE"/>
    <x v="0"/>
    <s v="MOV"/>
    <x v="0"/>
    <s v="OTH"/>
    <x v="0"/>
    <s v="OTH"/>
    <s v="Other Assets"/>
    <s v="Main offices"/>
    <s v="Main offices"/>
    <s v="OTH"/>
    <s v="Traditional Cane Chair"/>
    <s v="OTH"/>
    <m/>
    <s v="Traditional Cane Chair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2560.44"/>
    <m/>
    <n v="0"/>
    <n v="0"/>
    <n v="0"/>
    <n v="2560.44"/>
    <n v="142.24666666666644"/>
    <n v="0"/>
    <m/>
    <m/>
    <n v="-2418.1933333333336"/>
    <m/>
    <s v="NO"/>
    <m/>
    <m/>
    <n v="-142.24666666666644"/>
    <n v="-11.85388888888887"/>
    <m/>
    <s v="Straight line"/>
    <n v="0"/>
    <n v="-2560.44"/>
    <m/>
    <m/>
    <m/>
    <m/>
    <n v="0"/>
    <n v="0"/>
    <m/>
    <m/>
    <m/>
    <s v="Purchased"/>
    <s v="Own funding"/>
    <m/>
    <s v="S. Skenjana"/>
    <m/>
    <m/>
    <m/>
    <m/>
    <m/>
  </r>
  <r>
    <s v="NHC131"/>
    <s v="Open plan finance"/>
    <s v="PPE"/>
    <x v="0"/>
    <s v="MOV"/>
    <x v="0"/>
    <s v="OTH"/>
    <x v="0"/>
    <s v="OTH"/>
    <s v="Other Assets"/>
    <s v="Main offices"/>
    <s v="Main offices"/>
    <s v="OTH"/>
    <s v="Tradition Cane Chair"/>
    <s v="OTH"/>
    <m/>
    <s v="Tradition Cane Chair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560.44"/>
    <m/>
    <n v="0"/>
    <n v="0"/>
    <n v="0"/>
    <n v="2560.44"/>
    <n v="142.24666666666644"/>
    <n v="0"/>
    <m/>
    <m/>
    <n v="-2418.1933333333336"/>
    <m/>
    <s v="NO"/>
    <m/>
    <m/>
    <n v="-142.24666666666644"/>
    <n v="-11.85388888888887"/>
    <m/>
    <s v="Straight line"/>
    <n v="0"/>
    <n v="-2560.44"/>
    <m/>
    <m/>
    <m/>
    <m/>
    <n v="0"/>
    <n v="0"/>
    <m/>
    <m/>
    <m/>
    <s v="Purchased"/>
    <s v="Own funding"/>
    <m/>
    <s v="S.Skenjana"/>
    <m/>
    <m/>
    <m/>
    <m/>
    <m/>
  </r>
  <r>
    <s v="NHC145"/>
    <s v="R13 ceo office"/>
    <s v="PPE"/>
    <x v="0"/>
    <s v="MOV"/>
    <x v="0"/>
    <s v="OTH"/>
    <x v="0"/>
    <s v="OTH"/>
    <s v="Other Assets"/>
    <s v="Main offices"/>
    <s v="Main offices"/>
    <s v="OTH"/>
    <s v="Antique Butlers Tray"/>
    <s v="OTH"/>
    <m/>
    <s v="Antique Butlers Tray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46.3"/>
    <m/>
    <n v="0"/>
    <n v="0"/>
    <n v="0"/>
    <n v="2046.3"/>
    <n v="113.68333333333317"/>
    <n v="0"/>
    <m/>
    <m/>
    <n v="-1932.6166666666668"/>
    <m/>
    <s v="NO"/>
    <m/>
    <m/>
    <n v="-113.68333333333317"/>
    <n v="-9.4736111111110972"/>
    <m/>
    <s v="Straight line"/>
    <n v="0"/>
    <n v="-2046.3"/>
    <m/>
    <m/>
    <m/>
    <m/>
    <n v="0"/>
    <n v="0"/>
    <m/>
    <m/>
    <m/>
    <s v="Purchased"/>
    <s v="Own funding"/>
    <m/>
    <s v="C. GALLOWAY"/>
    <m/>
    <m/>
    <m/>
    <m/>
    <m/>
  </r>
  <r>
    <s v="NHC133"/>
    <s v="R5"/>
    <s v="PPE"/>
    <x v="0"/>
    <s v="MOV"/>
    <x v="0"/>
    <s v="OTH"/>
    <x v="0"/>
    <s v="OTH"/>
    <s v="Other Assets"/>
    <s v="Main offices"/>
    <s v="Main offices"/>
    <s v="OTH"/>
    <s v="1800*900mm Partners desk"/>
    <s v="OTH"/>
    <m/>
    <s v="1800*900mm Partners desk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13393.86"/>
    <m/>
    <n v="0"/>
    <n v="0"/>
    <n v="0"/>
    <n v="13393.86"/>
    <n v="744.10333333333256"/>
    <n v="0"/>
    <m/>
    <m/>
    <n v="-12649.756666666668"/>
    <m/>
    <s v="NO"/>
    <m/>
    <m/>
    <n v="-744.10333333333256"/>
    <n v="-62.008611111111044"/>
    <m/>
    <s v="Straight line"/>
    <n v="0"/>
    <n v="-13393.86"/>
    <m/>
    <m/>
    <m/>
    <m/>
    <n v="0"/>
    <n v="0"/>
    <m/>
    <m/>
    <m/>
    <s v="Purchased"/>
    <s v="Own funding"/>
    <m/>
    <s v="S. Pudikabekwa"/>
    <m/>
    <m/>
    <m/>
    <m/>
    <m/>
  </r>
  <r>
    <s v="NHC104"/>
    <s v="Open plan co- business "/>
    <s v="PPE"/>
    <x v="0"/>
    <s v="MOV"/>
    <x v="0"/>
    <s v="OTH"/>
    <x v="0"/>
    <s v="OTH"/>
    <s v="Other Assets"/>
    <s v="Main offices"/>
    <s v="Main offices"/>
    <s v="OTH"/>
    <s v="3 Drawer Pedestal"/>
    <s v="OTH"/>
    <m/>
    <s v="3 Drawer Pedestal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360.94"/>
    <m/>
    <n v="0"/>
    <n v="0"/>
    <n v="0"/>
    <n v="2360.94"/>
    <n v="131.16333333333341"/>
    <n v="0"/>
    <m/>
    <m/>
    <n v="-2229.7766666666666"/>
    <m/>
    <s v="NO"/>
    <m/>
    <m/>
    <n v="-131.16333333333341"/>
    <n v="-10.930277777777784"/>
    <m/>
    <s v="Straight line"/>
    <n v="0"/>
    <n v="-2360.94"/>
    <m/>
    <m/>
    <m/>
    <m/>
    <n v="0"/>
    <n v="0"/>
    <m/>
    <m/>
    <m/>
    <s v="Purchased"/>
    <s v="Own funding"/>
    <m/>
    <s v="T. Maso"/>
    <m/>
    <m/>
    <m/>
    <m/>
    <m/>
  </r>
  <r>
    <s v="NHC138"/>
    <s v="R2 Open plan finance "/>
    <s v="PPE"/>
    <x v="0"/>
    <s v="MOV"/>
    <x v="0"/>
    <s v="OTH"/>
    <x v="0"/>
    <s v="OTH"/>
    <s v="Other Assets"/>
    <s v="Main offices"/>
    <s v="Main offices"/>
    <s v="OTH"/>
    <s v="Vesta Highback, Swivel &amp; Tilt, Gas Height, Leather"/>
    <s v="OTH"/>
    <m/>
    <s v="Vesta Highback, Swivel &amp; Tilt, Gas Height, Leather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034.68"/>
    <m/>
    <n v="0"/>
    <n v="0"/>
    <n v="0"/>
    <n v="3034.68"/>
    <n v="168.5933333333337"/>
    <n v="0"/>
    <m/>
    <m/>
    <n v="-2866.0866666666661"/>
    <m/>
    <s v="NO"/>
    <m/>
    <m/>
    <n v="-168.5933333333337"/>
    <n v="-14.049444444444475"/>
    <m/>
    <s v="Straight line"/>
    <n v="0"/>
    <n v="-3034.68"/>
    <m/>
    <m/>
    <m/>
    <m/>
    <n v="0"/>
    <n v="0"/>
    <m/>
    <m/>
    <m/>
    <s v="Purchased"/>
    <s v="Own funding"/>
    <m/>
    <s v="N. Gawula"/>
    <m/>
    <m/>
    <m/>
    <m/>
    <m/>
  </r>
  <r>
    <s v="NHC139"/>
    <s v="R5 "/>
    <s v="PPE"/>
    <x v="0"/>
    <s v="MOV"/>
    <x v="0"/>
    <s v="OTH"/>
    <x v="0"/>
    <s v="OTH"/>
    <s v="Other Assets"/>
    <s v="Main offices"/>
    <s v="Main offices"/>
    <s v="OTH"/>
    <s v="Vesta Visitors Armchair, Leather"/>
    <s v="OTH"/>
    <m/>
    <s v="Vesta Visitors Armchair, Leather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3.16"/>
    <m/>
    <n v="0"/>
    <n v="0"/>
    <n v="0"/>
    <n v="2273.16"/>
    <n v="126.28666666666686"/>
    <n v="0"/>
    <m/>
    <m/>
    <n v="-2146.873333333333"/>
    <m/>
    <s v="NO"/>
    <m/>
    <m/>
    <n v="-126.28666666666686"/>
    <n v="-10.523888888888905"/>
    <m/>
    <s v="Straight line"/>
    <n v="0"/>
    <n v="-2273.16"/>
    <m/>
    <m/>
    <m/>
    <m/>
    <n v="0"/>
    <n v="0"/>
    <m/>
    <m/>
    <m/>
    <s v="Purchased"/>
    <s v="Own funding"/>
    <m/>
    <s v="S. Pudikabekwa"/>
    <m/>
    <m/>
    <m/>
    <m/>
    <m/>
  </r>
  <r>
    <s v="NHC140"/>
    <s v="R5 executive office"/>
    <s v="PPE"/>
    <x v="0"/>
    <s v="MOV"/>
    <x v="0"/>
    <s v="OTH"/>
    <x v="0"/>
    <s v="OTH"/>
    <s v="Other Assets"/>
    <s v="Main offices"/>
    <s v="Main offices"/>
    <s v="OTH"/>
    <s v="Vesta Visitors Armchair, Leather***"/>
    <s v="OTH"/>
    <m/>
    <s v="Vesta Visitors Armchair, Leather***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2273.16"/>
    <m/>
    <n v="0"/>
    <n v="0"/>
    <n v="0"/>
    <n v="2273.16"/>
    <n v="126.28666666666686"/>
    <n v="0"/>
    <m/>
    <m/>
    <n v="-2146.873333333333"/>
    <m/>
    <s v="NO"/>
    <m/>
    <m/>
    <n v="-126.28666666666686"/>
    <n v="-10.523888888888905"/>
    <m/>
    <s v="Straight line"/>
    <n v="0"/>
    <n v="-2273.16"/>
    <m/>
    <m/>
    <m/>
    <m/>
    <n v="0"/>
    <n v="0"/>
    <m/>
    <m/>
    <m/>
    <s v="Purchased"/>
    <s v="Own funding"/>
    <m/>
    <s v="C. GALLOWAY"/>
    <m/>
    <m/>
    <m/>
    <m/>
    <m/>
  </r>
  <r>
    <s v="NHC0094"/>
    <s v="Open plan co- business "/>
    <s v="PPE"/>
    <x v="0"/>
    <s v="MOV"/>
    <x v="0"/>
    <s v="OTH"/>
    <x v="0"/>
    <s v="OTH"/>
    <s v="Other Assets"/>
    <s v="Main offices"/>
    <s v="Main offices"/>
    <s v="OTH"/>
    <s v="1800*900mm Partners desk"/>
    <s v="OTH"/>
    <m/>
    <s v="1800*900mm Partners desk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3393.86"/>
    <m/>
    <n v="0"/>
    <n v="0"/>
    <n v="0"/>
    <n v="13393.86"/>
    <n v="744.10333333333256"/>
    <n v="0"/>
    <m/>
    <m/>
    <n v="-12649.756666666668"/>
    <m/>
    <s v="NO"/>
    <m/>
    <m/>
    <n v="-744.10333333333256"/>
    <n v="-62.008611111111044"/>
    <m/>
    <s v="Straight line"/>
    <n v="0"/>
    <n v="-13393.86"/>
    <m/>
    <m/>
    <m/>
    <m/>
    <n v="0"/>
    <n v="0"/>
    <m/>
    <m/>
    <m/>
    <s v="Purchased"/>
    <s v="Own funding"/>
    <m/>
    <s v="S.Skenjana"/>
    <m/>
    <m/>
    <m/>
    <m/>
    <m/>
  </r>
  <r>
    <s v="NHC107"/>
    <s v="R1 Main Reception "/>
    <s v="PPE"/>
    <x v="0"/>
    <s v="MOV"/>
    <x v="0"/>
    <s v="OTH"/>
    <x v="0"/>
    <s v="OTH"/>
    <s v="Other Assets"/>
    <s v="Main offices"/>
    <s v="Main offices"/>
    <s v="OTH"/>
    <s v="950*950mm Coffee Table"/>
    <s v="OTH"/>
    <m/>
    <s v="950*950mm Coffee Table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780.24"/>
    <m/>
    <n v="0"/>
    <n v="0"/>
    <n v="0"/>
    <n v="3780.24"/>
    <n v="210.01333333333332"/>
    <n v="0"/>
    <m/>
    <m/>
    <n v="-3570.2266666666665"/>
    <m/>
    <s v="NO"/>
    <m/>
    <m/>
    <n v="-210.01333333333332"/>
    <n v="-17.501111111111111"/>
    <m/>
    <s v="Straight line"/>
    <n v="0"/>
    <n v="-3780.24"/>
    <m/>
    <m/>
    <m/>
    <m/>
    <n v="0"/>
    <n v="0"/>
    <m/>
    <m/>
    <m/>
    <s v="Purchased"/>
    <s v="Own funding"/>
    <m/>
    <s v="M. Letsoale"/>
    <m/>
    <m/>
    <m/>
    <m/>
    <m/>
  </r>
  <r>
    <s v="NHC109"/>
    <s v="Open Plan Finance "/>
    <s v="PPE"/>
    <x v="0"/>
    <s v="MOV"/>
    <x v="0"/>
    <s v="OTH"/>
    <x v="0"/>
    <s v="OTH"/>
    <s v="Other Assets"/>
    <s v="Main offices"/>
    <s v="Main offices"/>
    <s v="OTH"/>
    <s v="Traditional Cane Chair-Range 2 fabric"/>
    <s v="OTH"/>
    <m/>
    <s v="Traditional Cane Chair-Range 2 fabric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5120.88"/>
    <m/>
    <n v="0"/>
    <n v="0"/>
    <n v="0"/>
    <n v="5120.88"/>
    <n v="284.49333333333288"/>
    <n v="0"/>
    <m/>
    <m/>
    <n v="-4836.3866666666672"/>
    <m/>
    <s v="NO"/>
    <m/>
    <m/>
    <n v="-284.49333333333288"/>
    <n v="-23.707777777777739"/>
    <m/>
    <s v="Straight line"/>
    <n v="0"/>
    <n v="-5120.88"/>
    <m/>
    <m/>
    <m/>
    <m/>
    <n v="0"/>
    <n v="0"/>
    <m/>
    <m/>
    <m/>
    <s v="Purchased"/>
    <s v="Own funding"/>
    <m/>
    <s v="S. Skenjana"/>
    <m/>
    <m/>
    <m/>
    <m/>
    <m/>
  </r>
  <r>
    <s v="NHC159"/>
    <s v="R13 CEO Offce"/>
    <s v="PPE"/>
    <x v="0"/>
    <s v="MOV"/>
    <x v="0"/>
    <s v="OTH"/>
    <x v="0"/>
    <s v="OTH"/>
    <s v="Other Assets"/>
    <s v="Main offices"/>
    <s v="Main offices"/>
    <s v="OTH"/>
    <s v="2100*1200mm Partners desk"/>
    <s v="OTH"/>
    <m/>
    <s v="2100*1200mm Partners desk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8910.32"/>
    <m/>
    <n v="0"/>
    <n v="0"/>
    <n v="0"/>
    <n v="18910.32"/>
    <n v="1050.5733333333337"/>
    <n v="0"/>
    <m/>
    <m/>
    <n v="-17859.746666666666"/>
    <m/>
    <s v="NO"/>
    <m/>
    <m/>
    <n v="-1050.5733333333337"/>
    <n v="-87.54777777777781"/>
    <m/>
    <s v="Straight line"/>
    <n v="0"/>
    <n v="-18910.32"/>
    <m/>
    <m/>
    <m/>
    <m/>
    <n v="0"/>
    <n v="0"/>
    <m/>
    <m/>
    <m/>
    <s v="Purchased"/>
    <s v="Own funding"/>
    <m/>
    <s v="T. Manetsi"/>
    <m/>
    <m/>
    <m/>
    <m/>
    <m/>
  </r>
  <r>
    <s v="NHC162"/>
    <s v="Open plan finance"/>
    <s v="PPE"/>
    <x v="0"/>
    <s v="MOV"/>
    <x v="0"/>
    <s v="OTH"/>
    <x v="0"/>
    <s v="OTH"/>
    <s v="Other Assets"/>
    <s v="Main offices"/>
    <s v="Main offices"/>
    <s v="OTH"/>
    <s v="1800*600mm L Extension"/>
    <s v="OTH"/>
    <m/>
    <s v="1800*600mm L Extension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4407.24"/>
    <m/>
    <n v="0"/>
    <n v="0"/>
    <n v="0"/>
    <n v="4407.24"/>
    <n v="244.84666666666635"/>
    <n v="0"/>
    <m/>
    <m/>
    <n v="-4162.3933333333334"/>
    <m/>
    <s v="NO"/>
    <m/>
    <m/>
    <n v="-244.84666666666635"/>
    <n v="-20.403888888888861"/>
    <m/>
    <s v="Straight line"/>
    <n v="0"/>
    <n v="-4407.24"/>
    <m/>
    <m/>
    <m/>
    <m/>
    <n v="0"/>
    <n v="0"/>
    <m/>
    <m/>
    <m/>
    <s v="Purchased"/>
    <s v="Own funding"/>
    <m/>
    <s v="L.Zwane"/>
    <m/>
    <m/>
    <m/>
    <m/>
    <m/>
  </r>
  <r>
    <s v="NHC161"/>
    <s v="R13 CEO Offce"/>
    <s v="PPE"/>
    <x v="0"/>
    <s v="MOV"/>
    <x v="0"/>
    <s v="OTH"/>
    <x v="0"/>
    <s v="OTH"/>
    <s v="Other Assets"/>
    <s v="Main offices"/>
    <s v="Main offices"/>
    <s v="OTH"/>
    <s v="Lampung double bookcase glass doors"/>
    <s v="OTH"/>
    <m/>
    <s v="Lampung double bookcase glass doors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3866.96"/>
    <m/>
    <n v="0"/>
    <n v="0"/>
    <n v="0"/>
    <n v="13866.96"/>
    <n v="770.38666666666541"/>
    <n v="0"/>
    <m/>
    <m/>
    <n v="-13096.573333333334"/>
    <m/>
    <s v="NO"/>
    <m/>
    <m/>
    <n v="-770.38666666666541"/>
    <n v="-64.198888888888789"/>
    <m/>
    <s v="Straight line"/>
    <n v="0"/>
    <n v="-13866.96"/>
    <m/>
    <m/>
    <m/>
    <m/>
    <n v="0"/>
    <n v="0"/>
    <m/>
    <m/>
    <m/>
    <s v="Purchased"/>
    <s v="Own funding"/>
    <m/>
    <s v="T. Manetsi"/>
    <m/>
    <m/>
    <m/>
    <m/>
    <m/>
  </r>
  <r>
    <s v="NHC163"/>
    <s v="R4 Main Board room"/>
    <s v="PPE"/>
    <x v="0"/>
    <s v="MOV"/>
    <x v="0"/>
    <s v="OTH"/>
    <x v="0"/>
    <s v="OTH"/>
    <s v="Other Assets"/>
    <s v="Main offices"/>
    <s v="Main offices"/>
    <s v="OTH"/>
    <s v="1500*1500 MM Square conference table"/>
    <s v="OTH"/>
    <m/>
    <s v="1500*1500 MM Square conference table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8980.92"/>
    <m/>
    <n v="0"/>
    <n v="0"/>
    <n v="0"/>
    <n v="8980.92"/>
    <n v="498.94000000000051"/>
    <n v="0"/>
    <m/>
    <m/>
    <n v="-8481.98"/>
    <m/>
    <s v="NO"/>
    <m/>
    <m/>
    <n v="-498.94000000000051"/>
    <n v="-41.578333333333376"/>
    <m/>
    <s v="Straight line"/>
    <n v="0"/>
    <n v="-8980.92"/>
    <m/>
    <m/>
    <m/>
    <m/>
    <n v="0"/>
    <n v="0"/>
    <m/>
    <m/>
    <m/>
    <s v="Purchased"/>
    <s v="Own funding"/>
    <m/>
    <s v="S.Skenjana"/>
    <m/>
    <m/>
    <m/>
    <m/>
    <m/>
  </r>
  <r>
    <s v="NHC178"/>
    <s v="Open Plan Finance "/>
    <s v="PPE"/>
    <x v="0"/>
    <s v="MOV"/>
    <x v="0"/>
    <s v="OTH"/>
    <x v="0"/>
    <s v="OTH"/>
    <s v="Other Assets"/>
    <s v="Main offices"/>
    <s v="Main offices"/>
    <s v="OTH"/>
    <s v="Traditional Cane Chair-Range 2 fabric"/>
    <s v="OTH"/>
    <m/>
    <s v="Traditional Cane Chair-Range 2 fabric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5120.88"/>
    <m/>
    <n v="0"/>
    <n v="0"/>
    <n v="0"/>
    <n v="5120.88"/>
    <n v="284.49333333333288"/>
    <n v="0"/>
    <m/>
    <m/>
    <n v="-4836.3866666666672"/>
    <m/>
    <s v="NO"/>
    <m/>
    <m/>
    <n v="-284.49333333333288"/>
    <n v="-23.707777777777739"/>
    <m/>
    <s v="Straight line"/>
    <n v="0"/>
    <n v="-5120.88"/>
    <m/>
    <m/>
    <m/>
    <m/>
    <n v="0"/>
    <n v="0"/>
    <m/>
    <m/>
    <m/>
    <s v="Purchased"/>
    <s v="Own funding"/>
    <m/>
    <s v="S. Skenjana"/>
    <m/>
    <m/>
    <m/>
    <m/>
    <m/>
  </r>
  <r>
    <s v="NHC179"/>
    <s v="Open Plan Finance "/>
    <s v="PPE"/>
    <x v="0"/>
    <s v="MOV"/>
    <x v="0"/>
    <s v="OTH"/>
    <x v="0"/>
    <s v="OTH"/>
    <s v="Other Assets"/>
    <s v="Main offices"/>
    <s v="Main offices"/>
    <s v="OTH"/>
    <s v="Traditional Cane Chair-Range 2 fabric"/>
    <s v="OTH"/>
    <m/>
    <s v="Traditional Cane Chair-Range 2 fabric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5120.88"/>
    <m/>
    <n v="0"/>
    <n v="0"/>
    <n v="0"/>
    <n v="5120.88"/>
    <n v="284.49333333333288"/>
    <n v="0"/>
    <m/>
    <m/>
    <n v="-4836.3866666666672"/>
    <m/>
    <s v="NO"/>
    <m/>
    <m/>
    <n v="-284.49333333333288"/>
    <n v="-23.707777777777739"/>
    <m/>
    <s v="Straight line"/>
    <n v="0"/>
    <n v="-5120.88"/>
    <m/>
    <m/>
    <m/>
    <m/>
    <n v="0"/>
    <n v="0"/>
    <m/>
    <m/>
    <m/>
    <s v="Purchased"/>
    <s v="Own funding"/>
    <m/>
    <s v="S. Skenjana"/>
    <m/>
    <m/>
    <m/>
    <m/>
    <m/>
  </r>
  <r>
    <s v="NHC0083"/>
    <n v="0"/>
    <s v="PPE"/>
    <x v="0"/>
    <s v="MOV"/>
    <x v="0"/>
    <s v="OTH"/>
    <x v="0"/>
    <s v="OTH"/>
    <s v="Other Assets"/>
    <s v="Main offices"/>
    <s v="Main offices"/>
    <s v="OTH"/>
    <s v="1500*750mm Reception desk with Modesty panel"/>
    <s v="OTH"/>
    <m/>
    <s v="1500*750mm Reception desk with Modesty panel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12920.76"/>
    <m/>
    <n v="0"/>
    <n v="0"/>
    <n v="0"/>
    <n v="12920.76"/>
    <n v="717.82000000000153"/>
    <n v="0"/>
    <m/>
    <m/>
    <n v="-12202.939999999999"/>
    <m/>
    <s v="NO"/>
    <m/>
    <m/>
    <n v="-717.82000000000153"/>
    <n v="-59.818333333333463"/>
    <m/>
    <s v="Straight line"/>
    <n v="0"/>
    <n v="-12920.76"/>
    <m/>
    <m/>
    <m/>
    <m/>
    <n v="0"/>
    <n v="0"/>
    <m/>
    <m/>
    <m/>
    <s v="Purchased"/>
    <s v="Own funding"/>
    <m/>
    <n v="0"/>
    <m/>
    <m/>
    <m/>
    <m/>
    <m/>
  </r>
  <r>
    <s v="NHC102"/>
    <s v="Open Plan HR"/>
    <s v="PPE"/>
    <x v="0"/>
    <s v="MOV"/>
    <x v="0"/>
    <s v="OTH"/>
    <x v="0"/>
    <s v="OTH"/>
    <s v="Other Assets"/>
    <s v="Main offices"/>
    <s v="Main offices"/>
    <s v="OTH"/>
    <s v="1800*900mm partner desk"/>
    <s v="OTH"/>
    <m/>
    <s v="1800*900mm partner desk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3393.86"/>
    <m/>
    <n v="0"/>
    <n v="0"/>
    <n v="0"/>
    <n v="13393.86"/>
    <n v="744.10333333333256"/>
    <n v="0"/>
    <m/>
    <m/>
    <n v="-12649.756666666668"/>
    <m/>
    <s v="NO"/>
    <m/>
    <m/>
    <n v="-744.10333333333256"/>
    <n v="-62.008611111111044"/>
    <m/>
    <s v="Straight line"/>
    <n v="0"/>
    <n v="-13393.86"/>
    <m/>
    <m/>
    <m/>
    <m/>
    <n v="0"/>
    <n v="0"/>
    <m/>
    <m/>
    <m/>
    <s v="Purchased"/>
    <s v="Own funding"/>
    <m/>
    <s v="M. Ndalamo"/>
    <m/>
    <m/>
    <m/>
    <m/>
    <m/>
  </r>
  <r>
    <s v="NHC113"/>
    <s v="Open Plan Co business "/>
    <s v="PPE"/>
    <x v="0"/>
    <s v="MOV"/>
    <x v="0"/>
    <s v="OTH"/>
    <x v="0"/>
    <s v="OTH"/>
    <s v="Other Assets"/>
    <s v="Main offices"/>
    <s v="Main offices"/>
    <s v="OTH"/>
    <s v="1800*600mm Extension"/>
    <s v="OTH"/>
    <m/>
    <s v="1800*600mm Extension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6459.24"/>
    <m/>
    <n v="0"/>
    <n v="0"/>
    <n v="0"/>
    <n v="6459.24"/>
    <n v="358.84666666666635"/>
    <n v="0"/>
    <m/>
    <m/>
    <n v="-6100.3933333333334"/>
    <m/>
    <s v="NO"/>
    <m/>
    <m/>
    <n v="-358.84666666666635"/>
    <n v="-29.903888888888861"/>
    <m/>
    <s v="Straight line"/>
    <n v="0"/>
    <n v="-6459.24"/>
    <m/>
    <m/>
    <m/>
    <m/>
    <n v="0"/>
    <n v="0"/>
    <m/>
    <m/>
    <m/>
    <s v="Purchased"/>
    <s v="Own funding"/>
    <m/>
    <s v="R. Mandiwana"/>
    <m/>
    <m/>
    <m/>
    <m/>
    <m/>
  </r>
  <r>
    <s v="NHC0076"/>
    <s v="Open plan Risk"/>
    <s v="PPE"/>
    <x v="0"/>
    <s v="MOV"/>
    <x v="0"/>
    <s v="OTH"/>
    <x v="0"/>
    <s v="OTH"/>
    <s v="Other Assets"/>
    <s v="Main offices"/>
    <s v="Main offices"/>
    <s v="OTH"/>
    <s v="1800*600mm L Extension"/>
    <s v="OTH"/>
    <m/>
    <s v="1800*600mm L Extension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6459.24"/>
    <m/>
    <n v="0"/>
    <n v="0"/>
    <n v="0"/>
    <n v="6459.24"/>
    <n v="358.84666666666635"/>
    <n v="0"/>
    <m/>
    <m/>
    <n v="-6100.3933333333334"/>
    <m/>
    <s v="NO"/>
    <m/>
    <m/>
    <n v="-358.84666666666635"/>
    <n v="-29.903888888888861"/>
    <m/>
    <s v="Straight line"/>
    <n v="0"/>
    <n v="-6459.24"/>
    <m/>
    <m/>
    <m/>
    <m/>
    <n v="0"/>
    <n v="0"/>
    <m/>
    <m/>
    <m/>
    <s v="Purchased"/>
    <s v="Own funding"/>
    <m/>
    <s v="S.Skenjana"/>
    <m/>
    <m/>
    <m/>
    <m/>
    <m/>
  </r>
  <r>
    <s v="NHC0078"/>
    <s v="R4 Main Board room"/>
    <s v="PPE"/>
    <x v="0"/>
    <s v="MOV"/>
    <x v="0"/>
    <s v="OTH"/>
    <x v="0"/>
    <s v="OTH"/>
    <s v="Other Assets"/>
    <s v="Main offices"/>
    <s v="Main offices"/>
    <s v="OTH"/>
    <s v="Vesta highback,swivel &amp; tilt, gas height, leather"/>
    <s v="OTH"/>
    <m/>
    <s v="Vesta highback,swivel &amp; tilt, gas height, leather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034.68"/>
    <m/>
    <n v="0"/>
    <n v="0"/>
    <n v="0"/>
    <n v="3034.68"/>
    <n v="168.5933333333337"/>
    <n v="0"/>
    <m/>
    <m/>
    <n v="-2866.0866666666661"/>
    <m/>
    <s v="NO"/>
    <m/>
    <m/>
    <n v="-168.5933333333337"/>
    <n v="-14.049444444444475"/>
    <m/>
    <s v="Straight line"/>
    <n v="0"/>
    <n v="-3034.68"/>
    <m/>
    <m/>
    <m/>
    <m/>
    <n v="0"/>
    <n v="0"/>
    <m/>
    <m/>
    <m/>
    <s v="Purchased"/>
    <s v="Own funding"/>
    <m/>
    <s v="S.Skenjana"/>
    <m/>
    <m/>
    <m/>
    <m/>
    <m/>
  </r>
  <r>
    <s v="NHC000228"/>
    <s v="R3 Open plan finance "/>
    <s v="PPE"/>
    <x v="0"/>
    <s v="MOV"/>
    <x v="0"/>
    <s v="OTH"/>
    <x v="0"/>
    <s v="OTH"/>
    <s v="Other Assets"/>
    <s v="Main offices"/>
    <s v="Main offices"/>
    <s v="OTH"/>
    <s v="1500 B/Case W/Glass door Mahogany Veneer"/>
    <s v="OTH"/>
    <m/>
    <s v="1500 B/Case W/Glass door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12/09/2005"/>
    <d v="2005-09-12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192"/>
    <m/>
    <n v="0"/>
    <n v="0"/>
    <n v="0"/>
    <n v="3192"/>
    <n v="177.33333333333303"/>
    <n v="0"/>
    <m/>
    <m/>
    <n v="-3014.666666666667"/>
    <m/>
    <s v="NO"/>
    <m/>
    <m/>
    <n v="-177.33333333333303"/>
    <n v="-14.777777777777752"/>
    <m/>
    <s v="Straight line"/>
    <n v="0"/>
    <n v="-3192"/>
    <m/>
    <m/>
    <m/>
    <m/>
    <n v="0"/>
    <n v="0"/>
    <m/>
    <m/>
    <m/>
    <s v="Purchased"/>
    <s v="Own funding"/>
    <m/>
    <s v="M. MANENZHE"/>
    <m/>
    <m/>
    <m/>
    <m/>
    <m/>
  </r>
  <r>
    <s v="NHC 000229"/>
    <s v="R5 "/>
    <s v="PPE"/>
    <x v="0"/>
    <s v="MOV"/>
    <x v="0"/>
    <s v="OTH"/>
    <x v="0"/>
    <s v="OTH"/>
    <s v="Other Assets"/>
    <s v="Main offices"/>
    <s v="Main offices"/>
    <s v="OTH"/>
    <s v="1500 BCase W/Glass door Mahogany Veneer"/>
    <s v="OTH"/>
    <m/>
    <s v="1500 BCase W/Glass door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12/09/2005"/>
    <d v="2005-09-12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192"/>
    <m/>
    <n v="0"/>
    <n v="0"/>
    <n v="0"/>
    <n v="3192"/>
    <n v="177.33333333333303"/>
    <n v="0"/>
    <m/>
    <m/>
    <n v="-3014.666666666667"/>
    <m/>
    <s v="NO"/>
    <m/>
    <m/>
    <n v="-177.33333333333303"/>
    <n v="-14.777777777777752"/>
    <m/>
    <s v="Straight line"/>
    <n v="0"/>
    <n v="-3192"/>
    <m/>
    <m/>
    <m/>
    <m/>
    <n v="0"/>
    <n v="0"/>
    <m/>
    <m/>
    <m/>
    <s v="Purchased"/>
    <s v="Own funding"/>
    <m/>
    <s v="S. Pudikabekwa"/>
    <m/>
    <m/>
    <m/>
    <m/>
    <m/>
  </r>
  <r>
    <s v="NHC 000216"/>
    <s v="R9 executive office"/>
    <s v="PPE"/>
    <x v="0"/>
    <s v="MOV"/>
    <x v="0"/>
    <s v="OTH"/>
    <x v="0"/>
    <s v="OTH"/>
    <s v="Other Assets"/>
    <s v="Main offices"/>
    <s v="Main offices"/>
    <s v="OTH"/>
    <s v="1500B/Case W/Glass door mahogany Veneer"/>
    <s v="OTH"/>
    <m/>
    <s v="1500B/Case W/Glass door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12/09/2005"/>
    <d v="2005-09-12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192"/>
    <m/>
    <n v="0"/>
    <n v="0"/>
    <n v="0"/>
    <n v="3192"/>
    <n v="177.33333333333303"/>
    <n v="0"/>
    <m/>
    <m/>
    <n v="-3014.666666666667"/>
    <m/>
    <s v="NO"/>
    <m/>
    <m/>
    <n v="-177.33333333333303"/>
    <n v="-14.777777777777752"/>
    <m/>
    <s v="Straight line"/>
    <n v="0"/>
    <n v="-3192"/>
    <m/>
    <m/>
    <m/>
    <m/>
    <n v="0"/>
    <n v="0"/>
    <m/>
    <m/>
    <m/>
    <s v="Purchased"/>
    <s v="Own funding"/>
    <m/>
    <s v="P. Kadi"/>
    <m/>
    <m/>
    <m/>
    <m/>
    <m/>
  </r>
  <r>
    <s v="NHC 000230"/>
    <s v="Open plan finance"/>
    <s v="PPE"/>
    <x v="0"/>
    <s v="MOV"/>
    <x v="0"/>
    <s v="OTH"/>
    <x v="0"/>
    <s v="OTH"/>
    <s v="Other Assets"/>
    <s v="Main offices"/>
    <s v="Main offices"/>
    <s v="OTH"/>
    <s v="1500 B/Case W/Glass door Mahogany Veneer"/>
    <s v="OTH"/>
    <m/>
    <s v="1500 B/Case W/Glass door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12/09/2005"/>
    <d v="2005-09-12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192"/>
    <m/>
    <n v="0"/>
    <n v="0"/>
    <n v="0"/>
    <n v="3192"/>
    <n v="177.33333333333303"/>
    <n v="0"/>
    <m/>
    <m/>
    <n v="-3014.666666666667"/>
    <m/>
    <s v="NO"/>
    <m/>
    <m/>
    <n v="-177.33333333333303"/>
    <n v="-14.777777777777752"/>
    <m/>
    <s v="Straight line"/>
    <n v="0"/>
    <n v="-3192"/>
    <m/>
    <m/>
    <m/>
    <m/>
    <n v="0"/>
    <n v="0"/>
    <m/>
    <m/>
    <m/>
    <s v="Purchased"/>
    <s v="Own funding"/>
    <m/>
    <s v="K.Mashilo"/>
    <m/>
    <m/>
    <m/>
    <m/>
    <m/>
  </r>
  <r>
    <s v="NHC 000244"/>
    <s v="R13 ceo office"/>
    <s v="PPE"/>
    <x v="0"/>
    <s v="MOV"/>
    <x v="0"/>
    <s v="OTH"/>
    <x v="0"/>
    <s v="OTH"/>
    <s v="Other Assets"/>
    <s v="Main offices"/>
    <s v="Main offices"/>
    <s v="OTH"/>
    <s v="1500 B/Case W/Glass Mahogany Veneer"/>
    <s v="OTH"/>
    <m/>
    <s v="1500 B/Case W/Glass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12/09/2005"/>
    <d v="2005-09-12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192"/>
    <m/>
    <n v="0"/>
    <n v="0"/>
    <n v="0"/>
    <n v="3192"/>
    <n v="177.33333333333303"/>
    <n v="0"/>
    <m/>
    <m/>
    <n v="-3014.666666666667"/>
    <m/>
    <s v="NO"/>
    <m/>
    <m/>
    <n v="-177.33333333333303"/>
    <n v="-14.777777777777752"/>
    <m/>
    <s v="Straight line"/>
    <n v="0"/>
    <n v="-3192"/>
    <m/>
    <m/>
    <m/>
    <m/>
    <n v="0"/>
    <n v="0"/>
    <m/>
    <m/>
    <m/>
    <s v="Purchased"/>
    <s v="Own funding"/>
    <m/>
    <s v="T. Manetsi"/>
    <m/>
    <m/>
    <m/>
    <m/>
    <m/>
  </r>
  <r>
    <s v="NHC 00245"/>
    <s v="Open plan co- business "/>
    <s v="PPE"/>
    <x v="0"/>
    <s v="MOV"/>
    <x v="0"/>
    <s v="OTH"/>
    <x v="0"/>
    <s v="OTH"/>
    <s v="Other Assets"/>
    <s v="Main offices"/>
    <s v="Main offices"/>
    <s v="OTH"/>
    <s v="1500 B/Case W/Glass Mahogany Venneer"/>
    <s v="OTH"/>
    <m/>
    <s v="1500 B/Case W/Glass Mahogany Venneer"/>
    <s v="Cost Model"/>
    <s v="Owned"/>
    <s v="Core"/>
    <x v="0"/>
    <s v="Finance and Administration : Asset Management"/>
    <s v="FX005002001000000000000000000000000"/>
    <s v="IA002015001018001001000000000000000000"/>
    <n v="1"/>
    <s v="12/09/2005"/>
    <d v="2005-09-12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192"/>
    <m/>
    <n v="0"/>
    <n v="0"/>
    <n v="0"/>
    <n v="3192"/>
    <n v="177.33333333333303"/>
    <n v="0"/>
    <m/>
    <m/>
    <n v="-3014.666666666667"/>
    <m/>
    <s v="NO"/>
    <m/>
    <m/>
    <n v="-177.33333333333303"/>
    <n v="-14.777777777777752"/>
    <m/>
    <s v="Straight line"/>
    <n v="0"/>
    <n v="-3192"/>
    <m/>
    <m/>
    <m/>
    <m/>
    <n v="0"/>
    <n v="0"/>
    <m/>
    <m/>
    <m/>
    <s v="Purchased"/>
    <s v="Own funding"/>
    <m/>
    <s v="S.Skenjana"/>
    <m/>
    <m/>
    <m/>
    <m/>
    <m/>
  </r>
  <r>
    <s v="NHC 000237"/>
    <s v="R27"/>
    <s v="PPE"/>
    <x v="0"/>
    <s v="MOV"/>
    <x v="0"/>
    <s v="OTH"/>
    <x v="0"/>
    <s v="OTH"/>
    <s v="Other Assets"/>
    <s v="Main offices"/>
    <s v="Main offices"/>
    <s v="OTH"/>
    <s v="1500 B/Case W/Glass Mahogany Veneer"/>
    <s v="OTH"/>
    <m/>
    <s v="1500 B/Case W/Glass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12/09/2005"/>
    <d v="2005-09-12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192"/>
    <m/>
    <n v="0"/>
    <n v="0"/>
    <n v="0"/>
    <n v="3192"/>
    <n v="177.33333333333303"/>
    <n v="0"/>
    <m/>
    <m/>
    <n v="-3014.666666666667"/>
    <m/>
    <s v="NO"/>
    <m/>
    <m/>
    <n v="-177.33333333333303"/>
    <n v="-14.777777777777752"/>
    <m/>
    <s v="Straight line"/>
    <n v="0"/>
    <n v="-3192"/>
    <m/>
    <m/>
    <m/>
    <m/>
    <n v="0"/>
    <n v="0"/>
    <m/>
    <m/>
    <m/>
    <s v="Purchased"/>
    <s v="Own funding"/>
    <m/>
    <s v="B. Maqasela"/>
    <m/>
    <m/>
    <m/>
    <m/>
    <m/>
  </r>
  <r>
    <s v="NHC 000253"/>
    <s v="Open plan Risk"/>
    <s v="PPE"/>
    <x v="0"/>
    <s v="MOV"/>
    <x v="0"/>
    <s v="OTH"/>
    <x v="0"/>
    <s v="OTH"/>
    <s v="Other Assets"/>
    <s v="Main offices"/>
    <s v="Main offices"/>
    <s v="OTH"/>
    <s v="1500 B/Case W/Glass Mahogany Veneer"/>
    <s v="OTH"/>
    <m/>
    <s v="1500 B/Case W/Glass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12/09/2005"/>
    <d v="2005-09-12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192"/>
    <m/>
    <n v="0"/>
    <n v="0"/>
    <n v="0"/>
    <n v="3192"/>
    <n v="177.33333333333303"/>
    <n v="0"/>
    <m/>
    <m/>
    <n v="-3014.666666666667"/>
    <m/>
    <s v="NO"/>
    <m/>
    <m/>
    <n v="-177.33333333333303"/>
    <n v="-14.777777777777752"/>
    <m/>
    <s v="Straight line"/>
    <n v="0"/>
    <n v="-3192"/>
    <m/>
    <m/>
    <m/>
    <m/>
    <n v="0"/>
    <n v="0"/>
    <m/>
    <m/>
    <m/>
    <s v="Purchased"/>
    <s v="Own funding"/>
    <m/>
    <s v="M. Ngwaila"/>
    <m/>
    <m/>
    <m/>
    <m/>
    <m/>
  </r>
  <r>
    <s v="NHC 000247"/>
    <s v="R8 executive office"/>
    <s v="PPE"/>
    <x v="0"/>
    <s v="MOV"/>
    <x v="0"/>
    <s v="OTH"/>
    <x v="0"/>
    <s v="OTH"/>
    <s v="Other Assets"/>
    <s v="Main offices"/>
    <s v="Main offices"/>
    <s v="OTH"/>
    <s v="1500 B/Case W/Glass Mahogany Veneer"/>
    <s v="OTH"/>
    <m/>
    <s v="1500 B/Case W/Glass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12/09/2005"/>
    <d v="2005-09-12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3192"/>
    <m/>
    <n v="0"/>
    <n v="0"/>
    <n v="0"/>
    <n v="3192"/>
    <n v="177.33333333333303"/>
    <n v="0"/>
    <m/>
    <m/>
    <n v="-3014.666666666667"/>
    <m/>
    <s v="NO"/>
    <m/>
    <m/>
    <n v="-177.33333333333303"/>
    <n v="-14.777777777777752"/>
    <m/>
    <s v="Straight line"/>
    <n v="0"/>
    <n v="-3192"/>
    <m/>
    <m/>
    <m/>
    <m/>
    <n v="0"/>
    <n v="0"/>
    <m/>
    <m/>
    <m/>
    <s v="Purchased"/>
    <s v="Own funding"/>
    <m/>
    <s v="M. Davids"/>
    <m/>
    <m/>
    <m/>
    <m/>
    <m/>
  </r>
  <r>
    <s v="NHC 000233"/>
    <s v="R3 Open plan finance "/>
    <s v="PPE"/>
    <x v="0"/>
    <s v="MOV"/>
    <x v="0"/>
    <s v="OTH"/>
    <x v="0"/>
    <s v="OTH"/>
    <s v="Other Assets"/>
    <s v="Main offices"/>
    <s v="Main offices"/>
    <s v="OTH"/>
    <s v="1500 B/Case W/Glass Mahogany Veneer"/>
    <s v="OTH"/>
    <m/>
    <s v="1500 B/Case W/Glass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12/09/2005"/>
    <d v="2005-09-12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192"/>
    <m/>
    <n v="0"/>
    <n v="0"/>
    <n v="0"/>
    <n v="3192"/>
    <n v="177.33333333333303"/>
    <n v="0"/>
    <m/>
    <m/>
    <n v="-3014.666666666667"/>
    <m/>
    <s v="NO"/>
    <m/>
    <m/>
    <n v="-177.33333333333303"/>
    <n v="-14.777777777777752"/>
    <m/>
    <s v="Straight line"/>
    <n v="0"/>
    <n v="-3192"/>
    <m/>
    <m/>
    <m/>
    <m/>
    <n v="0"/>
    <n v="0"/>
    <m/>
    <m/>
    <m/>
    <s v="Purchased"/>
    <s v="Own funding"/>
    <m/>
    <s v="M.Manenzhe"/>
    <m/>
    <m/>
    <m/>
    <m/>
    <m/>
  </r>
  <r>
    <s v="NHC 000234"/>
    <s v="Open plan co- business "/>
    <s v="PPE"/>
    <x v="0"/>
    <s v="MOV"/>
    <x v="0"/>
    <s v="OTH"/>
    <x v="0"/>
    <s v="OTH"/>
    <s v="Other Assets"/>
    <s v="Main offices"/>
    <s v="Main offices"/>
    <s v="OTH"/>
    <s v="1500 B/Case W/Glass Mahogany Veneer"/>
    <s v="OTH"/>
    <m/>
    <s v="1500 B/Case W/Glass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12/09/2005"/>
    <d v="2005-09-12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192"/>
    <m/>
    <n v="0"/>
    <n v="0"/>
    <n v="0"/>
    <n v="3192"/>
    <n v="177.33333333333303"/>
    <n v="0"/>
    <m/>
    <m/>
    <n v="-3014.666666666667"/>
    <m/>
    <s v="NO"/>
    <m/>
    <m/>
    <n v="-177.33333333333303"/>
    <n v="-14.777777777777752"/>
    <m/>
    <s v="Straight line"/>
    <n v="0"/>
    <n v="-3192"/>
    <m/>
    <m/>
    <m/>
    <m/>
    <n v="0"/>
    <n v="0"/>
    <m/>
    <m/>
    <m/>
    <s v="Purchased"/>
    <s v="Own funding"/>
    <m/>
    <s v="T. Maso"/>
    <m/>
    <m/>
    <m/>
    <m/>
    <m/>
  </r>
  <r>
    <s v="NHC 000257"/>
    <s v="R29"/>
    <s v="PPE"/>
    <x v="0"/>
    <s v="MOV"/>
    <x v="0"/>
    <s v="OTH"/>
    <x v="0"/>
    <s v="OTH"/>
    <s v="Other Assets"/>
    <s v="Main offices"/>
    <s v="Main offices"/>
    <s v="OTH"/>
    <s v="1500 B/Case W/Glass Mahogany Veneer"/>
    <s v="OTH"/>
    <m/>
    <s v="1500 B/Case W/Glass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12/09/2005"/>
    <d v="2005-09-12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192"/>
    <m/>
    <n v="0"/>
    <n v="0"/>
    <n v="0"/>
    <n v="3192"/>
    <n v="177.33333333333303"/>
    <n v="0"/>
    <m/>
    <m/>
    <n v="-3014.666666666667"/>
    <m/>
    <s v="NO"/>
    <m/>
    <m/>
    <n v="-177.33333333333303"/>
    <n v="-14.777777777777752"/>
    <m/>
    <s v="Straight line"/>
    <n v="0"/>
    <n v="-3192"/>
    <m/>
    <m/>
    <m/>
    <m/>
    <n v="0"/>
    <n v="0"/>
    <m/>
    <m/>
    <m/>
    <s v="Purchased"/>
    <s v="Own funding"/>
    <m/>
    <s v="A. Mulaudzi"/>
    <m/>
    <m/>
    <m/>
    <m/>
    <m/>
  </r>
  <r>
    <s v="NHC 000226"/>
    <s v="Open plan finance"/>
    <s v="PPE"/>
    <x v="0"/>
    <s v="MOV"/>
    <x v="0"/>
    <s v="OTH"/>
    <x v="0"/>
    <s v="OTH"/>
    <s v="Other Assets"/>
    <s v="Main offices"/>
    <s v="Main offices"/>
    <s v="OTH"/>
    <s v="2 Tier Bookcase Mahogany Veneer"/>
    <s v="OTH"/>
    <m/>
    <s v="2 Tier Bookcase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14/09/2005"/>
    <d v="2005-09-14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368"/>
    <m/>
    <n v="0"/>
    <n v="0"/>
    <n v="0"/>
    <n v="1368"/>
    <n v="76"/>
    <n v="0"/>
    <m/>
    <m/>
    <n v="-1292"/>
    <m/>
    <s v="NO"/>
    <m/>
    <m/>
    <n v="-76"/>
    <n v="-6.333333333333333"/>
    <m/>
    <s v="Straight line"/>
    <n v="0"/>
    <n v="-1368"/>
    <m/>
    <m/>
    <m/>
    <m/>
    <n v="0"/>
    <n v="0"/>
    <m/>
    <m/>
    <m/>
    <s v="Purchased"/>
    <s v="Own funding"/>
    <m/>
    <s v="S. Skenjana"/>
    <m/>
    <m/>
    <m/>
    <m/>
    <m/>
  </r>
  <r>
    <s v="NHC 000263"/>
    <s v="R12 Executive Offices"/>
    <s v="PPE"/>
    <x v="0"/>
    <s v="MOV"/>
    <x v="0"/>
    <s v="OTH"/>
    <x v="0"/>
    <s v="OTH"/>
    <s v="Other Assets"/>
    <s v="Main offices"/>
    <s v="Main offices"/>
    <s v="OTH"/>
    <s v="Wall Unit 1900*1870 Mahogany Veneer"/>
    <s v="OTH"/>
    <m/>
    <s v="Wall Unit 1900*1870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14/09/2005"/>
    <d v="2005-09-14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8208"/>
    <m/>
    <n v="0"/>
    <n v="0"/>
    <n v="0"/>
    <n v="8208"/>
    <n v="456"/>
    <n v="0"/>
    <m/>
    <m/>
    <n v="-7752"/>
    <m/>
    <s v="NO"/>
    <m/>
    <m/>
    <n v="-456"/>
    <n v="-38"/>
    <m/>
    <s v="Straight line"/>
    <n v="0"/>
    <n v="-8208"/>
    <m/>
    <m/>
    <m/>
    <m/>
    <n v="0"/>
    <n v="0"/>
    <m/>
    <m/>
    <m/>
    <s v="Purchased"/>
    <s v="Own funding"/>
    <m/>
    <s v="C. GALLOWAY"/>
    <m/>
    <m/>
    <m/>
    <m/>
    <m/>
  </r>
  <r>
    <s v="NHC 000217"/>
    <s v="Open Plan core business"/>
    <s v="PPE"/>
    <x v="0"/>
    <s v="MOV"/>
    <x v="0"/>
    <s v="OTH"/>
    <x v="0"/>
    <s v="OTH"/>
    <s v="Other Assets"/>
    <s v="Main offices"/>
    <s v="Main offices"/>
    <s v="OTH"/>
    <s v="1500 Systems Cabinet Mahogany Veneer"/>
    <s v="OTH"/>
    <m/>
    <s v="1500 Systems Cabinet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07/09/2005"/>
    <d v="2005-09-0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534"/>
    <m/>
    <n v="0"/>
    <n v="0"/>
    <n v="0"/>
    <n v="3534"/>
    <n v="196.33333333333303"/>
    <n v="0"/>
    <m/>
    <m/>
    <n v="-3337.666666666667"/>
    <m/>
    <s v="NO"/>
    <m/>
    <m/>
    <n v="-196.33333333333303"/>
    <n v="-16.361111111111086"/>
    <m/>
    <s v="Straight line"/>
    <n v="0"/>
    <n v="-3534"/>
    <m/>
    <m/>
    <m/>
    <m/>
    <n v="0"/>
    <n v="0"/>
    <m/>
    <m/>
    <m/>
    <s v="Purchased"/>
    <s v="Own funding"/>
    <m/>
    <s v="T. Maso"/>
    <m/>
    <m/>
    <m/>
    <m/>
    <m/>
  </r>
  <r>
    <s v="NHC 000218"/>
    <s v="Open plan Risk"/>
    <s v="PPE"/>
    <x v="0"/>
    <s v="MOV"/>
    <x v="0"/>
    <s v="OTH"/>
    <x v="0"/>
    <s v="OTH"/>
    <s v="Other Assets"/>
    <s v="Main offices"/>
    <s v="Main offices"/>
    <s v="OTH"/>
    <s v="1500Systems Cabinet Mahogany Veneer"/>
    <s v="OTH"/>
    <m/>
    <s v="1500Systems Cabinet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07/09/2005"/>
    <d v="2005-09-0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534"/>
    <m/>
    <n v="0"/>
    <n v="0"/>
    <n v="0"/>
    <n v="3534"/>
    <n v="196.33333333333303"/>
    <n v="0"/>
    <m/>
    <m/>
    <n v="-3337.666666666667"/>
    <m/>
    <s v="NO"/>
    <m/>
    <m/>
    <n v="-196.33333333333303"/>
    <n v="-16.361111111111086"/>
    <m/>
    <s v="Straight line"/>
    <n v="0"/>
    <n v="-3534"/>
    <m/>
    <m/>
    <m/>
    <m/>
    <n v="0"/>
    <n v="0"/>
    <m/>
    <m/>
    <m/>
    <s v="Purchased"/>
    <s v="Own funding"/>
    <m/>
    <s v="Z. Sithole"/>
    <m/>
    <m/>
    <m/>
    <m/>
    <m/>
  </r>
  <r>
    <s v="NHC 000231"/>
    <s v="R26 storeroom HR"/>
    <s v="PPE"/>
    <x v="0"/>
    <s v="MOV"/>
    <x v="0"/>
    <s v="OTH"/>
    <x v="0"/>
    <s v="OTH"/>
    <s v="Other Assets"/>
    <s v="Main offices"/>
    <s v="Main offices"/>
    <s v="OTH"/>
    <s v="1500 Systems Cabinet Mahogany Veneer"/>
    <s v="OTH"/>
    <m/>
    <s v="1500 Systems Cabinet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07/09/2005"/>
    <d v="2005-09-07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3534"/>
    <m/>
    <n v="0"/>
    <n v="0"/>
    <n v="0"/>
    <n v="3534"/>
    <n v="196.33333333333303"/>
    <n v="0"/>
    <m/>
    <m/>
    <n v="-3337.666666666667"/>
    <m/>
    <s v="NO"/>
    <m/>
    <m/>
    <n v="-196.33333333333303"/>
    <n v="-16.361111111111086"/>
    <m/>
    <s v="Straight line"/>
    <n v="0"/>
    <n v="-3534"/>
    <m/>
    <m/>
    <m/>
    <m/>
    <n v="0"/>
    <n v="0"/>
    <m/>
    <m/>
    <m/>
    <s v="Purchased"/>
    <s v="Own funding"/>
    <m/>
    <s v="N.Mbeki"/>
    <m/>
    <m/>
    <m/>
    <m/>
    <m/>
  </r>
  <r>
    <s v="NHC 000232"/>
    <s v="Open plan finance"/>
    <s v="PPE"/>
    <x v="0"/>
    <s v="MOV"/>
    <x v="0"/>
    <s v="OTH"/>
    <x v="0"/>
    <s v="OTH"/>
    <s v="Other Assets"/>
    <s v="Main offices"/>
    <s v="Main offices"/>
    <s v="OTH"/>
    <s v="1500Systems Cabinet Mahogany Veneer"/>
    <s v="OTH"/>
    <m/>
    <s v="1500Systems Cabinet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07/09/2005"/>
    <d v="2005-09-0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534"/>
    <m/>
    <n v="0"/>
    <n v="0"/>
    <n v="0"/>
    <n v="3534"/>
    <n v="196.33333333333303"/>
    <n v="0"/>
    <m/>
    <m/>
    <n v="-3337.666666666667"/>
    <m/>
    <s v="NO"/>
    <m/>
    <m/>
    <n v="-196.33333333333303"/>
    <n v="-16.361111111111086"/>
    <m/>
    <s v="Straight line"/>
    <n v="0"/>
    <n v="-3534"/>
    <m/>
    <m/>
    <m/>
    <m/>
    <n v="0"/>
    <n v="0"/>
    <m/>
    <m/>
    <m/>
    <s v="Purchased"/>
    <s v="Own funding"/>
    <m/>
    <s v="S. Zawana"/>
    <m/>
    <m/>
    <m/>
    <m/>
    <m/>
  </r>
  <r>
    <s v="NHC 000238"/>
    <s v="R27"/>
    <s v="PPE"/>
    <x v="0"/>
    <s v="MOV"/>
    <x v="0"/>
    <s v="OTH"/>
    <x v="0"/>
    <s v="OTH"/>
    <s v="Other Assets"/>
    <s v="Main offices"/>
    <s v="Main offices"/>
    <s v="OTH"/>
    <s v="1500Systems Cabinet Mahogany Veneer"/>
    <s v="OTH"/>
    <m/>
    <s v="1500Systems Cabinet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07/09/2005"/>
    <d v="2005-09-0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534"/>
    <m/>
    <n v="0"/>
    <n v="0"/>
    <n v="0"/>
    <n v="3534"/>
    <n v="196.33333333333303"/>
    <n v="0"/>
    <m/>
    <m/>
    <n v="-3337.666666666667"/>
    <m/>
    <s v="NO"/>
    <m/>
    <m/>
    <n v="-196.33333333333303"/>
    <n v="-16.361111111111086"/>
    <m/>
    <s v="Straight line"/>
    <n v="0"/>
    <n v="-3534"/>
    <m/>
    <m/>
    <m/>
    <m/>
    <n v="0"/>
    <n v="0"/>
    <m/>
    <m/>
    <m/>
    <s v="Purchased"/>
    <s v="Own funding"/>
    <m/>
    <s v="B. Maqasela"/>
    <m/>
    <m/>
    <m/>
    <m/>
    <m/>
  </r>
  <r>
    <s v="NHC 000260"/>
    <s v="R10 Executive Office"/>
    <s v="PPE"/>
    <x v="0"/>
    <s v="MOV"/>
    <x v="0"/>
    <s v="OTH"/>
    <x v="0"/>
    <s v="OTH"/>
    <s v="Other Assets"/>
    <s v="Main offices"/>
    <s v="Main offices"/>
    <s v="OTH"/>
    <s v="1500Systems Cabinet Mahogany Veneer"/>
    <s v="OTH"/>
    <m/>
    <s v="1500Systems Cabinet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07/09/2005"/>
    <d v="2005-09-07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3534"/>
    <m/>
    <n v="0"/>
    <n v="0"/>
    <n v="0"/>
    <n v="3534"/>
    <n v="196.33333333333303"/>
    <n v="0"/>
    <m/>
    <m/>
    <n v="-3337.666666666667"/>
    <m/>
    <s v="NO"/>
    <m/>
    <m/>
    <n v="-196.33333333333303"/>
    <n v="-16.361111111111086"/>
    <m/>
    <s v="Straight line"/>
    <n v="0"/>
    <n v="-3534"/>
    <m/>
    <m/>
    <m/>
    <m/>
    <n v="0"/>
    <n v="0"/>
    <m/>
    <m/>
    <m/>
    <s v="Purchased"/>
    <s v="Own funding"/>
    <m/>
    <s v="M. Chamane "/>
    <m/>
    <m/>
    <m/>
    <m/>
    <m/>
  </r>
  <r>
    <s v="NHC 000261"/>
    <s v="Open plan finance"/>
    <s v="PPE"/>
    <x v="0"/>
    <s v="MOV"/>
    <x v="0"/>
    <s v="OTH"/>
    <x v="0"/>
    <s v="OTH"/>
    <s v="Other Assets"/>
    <s v="Main offices"/>
    <s v="Main offices"/>
    <s v="OTH"/>
    <s v="1500Systems Cabinet Mahogany Veneer"/>
    <s v="OTH"/>
    <m/>
    <s v="1500Systems Cabinet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07/09/2005"/>
    <d v="2005-09-0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534"/>
    <m/>
    <n v="0"/>
    <n v="0"/>
    <n v="0"/>
    <n v="3534"/>
    <n v="196.33333333333303"/>
    <n v="0"/>
    <m/>
    <m/>
    <n v="-3337.666666666667"/>
    <m/>
    <s v="NO"/>
    <m/>
    <m/>
    <n v="-196.33333333333303"/>
    <n v="-16.361111111111086"/>
    <m/>
    <s v="Straight line"/>
    <n v="0"/>
    <n v="-3534"/>
    <m/>
    <m/>
    <m/>
    <m/>
    <n v="0"/>
    <n v="0"/>
    <m/>
    <m/>
    <m/>
    <s v="Purchased"/>
    <s v="Own funding"/>
    <m/>
    <s v="K. Mashilo"/>
    <m/>
    <m/>
    <m/>
    <m/>
    <m/>
  </r>
  <r>
    <s v="NHC 000254"/>
    <s v="Open plan finance"/>
    <s v="PPE"/>
    <x v="0"/>
    <s v="MOV"/>
    <x v="0"/>
    <s v="OTH"/>
    <x v="0"/>
    <s v="OTH"/>
    <s v="Other Assets"/>
    <s v="Main offices"/>
    <s v="Main offices"/>
    <s v="OTH"/>
    <s v="1500 Systems Cabinet Mahogany Veneer"/>
    <s v="OTH"/>
    <m/>
    <s v="1500 Systems Cabinet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07/09/2005"/>
    <d v="2005-09-07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3534"/>
    <m/>
    <n v="0"/>
    <n v="0"/>
    <n v="0"/>
    <n v="3534"/>
    <n v="196.33333333333303"/>
    <n v="0"/>
    <m/>
    <m/>
    <n v="-3337.666666666667"/>
    <m/>
    <s v="NO"/>
    <m/>
    <m/>
    <n v="-196.33333333333303"/>
    <n v="-16.361111111111086"/>
    <m/>
    <s v="Straight line"/>
    <n v="0"/>
    <n v="-3534"/>
    <m/>
    <m/>
    <m/>
    <m/>
    <n v="0"/>
    <n v="0"/>
    <m/>
    <m/>
    <m/>
    <s v="Purchased"/>
    <s v="Own funding"/>
    <m/>
    <s v="L Zwane"/>
    <m/>
    <m/>
    <m/>
    <m/>
    <m/>
  </r>
  <r>
    <s v="NHC 000248"/>
    <s v="Open plan finance"/>
    <s v="PPE"/>
    <x v="0"/>
    <s v="MOV"/>
    <x v="0"/>
    <s v="OTH"/>
    <x v="0"/>
    <s v="OTH"/>
    <s v="Other Assets"/>
    <s v="Main offices"/>
    <s v="Main offices"/>
    <s v="OTH"/>
    <s v="1500 Systems Cabinet Mahogany Veneer"/>
    <s v="OTH"/>
    <m/>
    <s v="1500 Systems Cabinet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07/09/2005"/>
    <d v="2005-09-0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534"/>
    <m/>
    <n v="0"/>
    <n v="0"/>
    <n v="0"/>
    <n v="3534"/>
    <n v="196.33333333333303"/>
    <n v="0"/>
    <m/>
    <m/>
    <n v="-3337.666666666667"/>
    <m/>
    <s v="NO"/>
    <m/>
    <m/>
    <n v="-196.33333333333303"/>
    <n v="-16.361111111111086"/>
    <m/>
    <s v="Straight line"/>
    <n v="0"/>
    <n v="-3534"/>
    <m/>
    <m/>
    <m/>
    <m/>
    <n v="0"/>
    <n v="0"/>
    <m/>
    <m/>
    <m/>
    <s v="Purchased"/>
    <s v="Own funding"/>
    <m/>
    <s v="S.Skenjana"/>
    <m/>
    <m/>
    <m/>
    <m/>
    <m/>
  </r>
  <r>
    <s v="NHC 000235"/>
    <s v="Open Plan core business"/>
    <s v="PPE"/>
    <x v="0"/>
    <s v="MOV"/>
    <x v="0"/>
    <s v="OTH"/>
    <x v="0"/>
    <s v="OTH"/>
    <s v="Other Assets"/>
    <s v="Main offices"/>
    <s v="Main offices"/>
    <s v="OTH"/>
    <s v="1500 Systems Cabinet Mahogany Veneer"/>
    <s v="OTH"/>
    <m/>
    <s v="1500 Systems Cabinet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07/09/2005"/>
    <d v="2005-09-0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534"/>
    <m/>
    <n v="0"/>
    <n v="0"/>
    <n v="0"/>
    <n v="3534"/>
    <n v="196.33333333333303"/>
    <n v="0"/>
    <m/>
    <m/>
    <n v="-3337.666666666667"/>
    <m/>
    <s v="NO"/>
    <m/>
    <m/>
    <n v="-196.33333333333303"/>
    <n v="-16.361111111111086"/>
    <m/>
    <s v="Straight line"/>
    <n v="0"/>
    <n v="-3534"/>
    <m/>
    <m/>
    <m/>
    <m/>
    <n v="0"/>
    <n v="0"/>
    <m/>
    <m/>
    <m/>
    <s v="Purchased"/>
    <s v="Own funding"/>
    <m/>
    <s v="M. PHUKUBJE"/>
    <m/>
    <m/>
    <m/>
    <m/>
    <m/>
  </r>
  <r>
    <s v="NHC 000258"/>
    <s v="R24"/>
    <s v="PPE"/>
    <x v="0"/>
    <s v="MOV"/>
    <x v="0"/>
    <s v="OTH"/>
    <x v="0"/>
    <s v="OTH"/>
    <s v="Other Assets"/>
    <s v="Main offices"/>
    <s v="Main offices"/>
    <s v="OTH"/>
    <s v="1500 Systems Cabinet Mahogany Veneer"/>
    <s v="OTH"/>
    <m/>
    <s v="1500 Systems Cabinet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07/09/2005"/>
    <d v="2005-09-0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534"/>
    <m/>
    <n v="0"/>
    <n v="0"/>
    <n v="0"/>
    <n v="3534"/>
    <n v="196.33333333333303"/>
    <n v="0"/>
    <m/>
    <m/>
    <n v="-3337.666666666667"/>
    <m/>
    <s v="NO"/>
    <m/>
    <m/>
    <n v="-196.33333333333303"/>
    <n v="-16.361111111111086"/>
    <m/>
    <s v="Straight line"/>
    <n v="0"/>
    <n v="-3534"/>
    <m/>
    <m/>
    <m/>
    <m/>
    <n v="0"/>
    <n v="0"/>
    <m/>
    <m/>
    <m/>
    <s v="Purchased"/>
    <s v="Own funding"/>
    <m/>
    <s v="L. Mphafe"/>
    <m/>
    <m/>
    <m/>
    <m/>
    <m/>
  </r>
  <r>
    <s v="NHC 000221"/>
    <s v="Open Plan core business"/>
    <s v="PPE"/>
    <x v="0"/>
    <s v="MOV"/>
    <x v="0"/>
    <s v="OTH"/>
    <x v="0"/>
    <s v="OTH"/>
    <s v="Other Assets"/>
    <s v="Main offices"/>
    <s v="Main offices"/>
    <s v="OTH"/>
    <s v="1500 Systems Cabinet Mahogany Veneer"/>
    <s v="OTH"/>
    <m/>
    <s v="1500 Systems Cabinet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07/09/2005"/>
    <d v="2005-09-0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534"/>
    <m/>
    <n v="0"/>
    <n v="0"/>
    <n v="0"/>
    <n v="3534"/>
    <n v="196.33333333333303"/>
    <n v="0"/>
    <m/>
    <m/>
    <n v="-3337.666666666667"/>
    <m/>
    <s v="NO"/>
    <m/>
    <m/>
    <n v="-196.33333333333303"/>
    <n v="-16.361111111111086"/>
    <m/>
    <s v="Straight line"/>
    <n v="0"/>
    <n v="-3534"/>
    <m/>
    <m/>
    <m/>
    <m/>
    <n v="0"/>
    <n v="0"/>
    <m/>
    <m/>
    <m/>
    <s v="Purchased"/>
    <s v="Own funding"/>
    <m/>
    <s v="T. Molema"/>
    <m/>
    <m/>
    <m/>
    <m/>
    <m/>
  </r>
  <r>
    <s v="NHC 000222"/>
    <s v="Open plan co- business "/>
    <s v="PPE"/>
    <x v="0"/>
    <s v="MOV"/>
    <x v="0"/>
    <s v="OTH"/>
    <x v="0"/>
    <s v="OTH"/>
    <s v="Other Assets"/>
    <s v="Main offices"/>
    <s v="Main offices"/>
    <s v="OTH"/>
    <s v="1500Systems Cabinet Mahogany Veneer"/>
    <s v="OTH"/>
    <m/>
    <s v="1500Systems Cabinet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07/09/2005"/>
    <d v="2005-09-0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534"/>
    <m/>
    <n v="0"/>
    <n v="0"/>
    <n v="0"/>
    <n v="3534"/>
    <n v="196.33333333333303"/>
    <n v="0"/>
    <m/>
    <m/>
    <n v="-3337.666666666667"/>
    <m/>
    <s v="NO"/>
    <m/>
    <m/>
    <n v="-196.33333333333303"/>
    <n v="-16.361111111111086"/>
    <m/>
    <s v="Straight line"/>
    <n v="0"/>
    <n v="-3534"/>
    <m/>
    <m/>
    <m/>
    <m/>
    <n v="0"/>
    <n v="0"/>
    <m/>
    <m/>
    <m/>
    <s v="Purchased"/>
    <s v="Own funding"/>
    <m/>
    <s v="S.Skenjana"/>
    <m/>
    <m/>
    <m/>
    <m/>
    <m/>
  </r>
  <r>
    <s v="NHC 000256"/>
    <s v="R1 Main Reception "/>
    <s v="PPE"/>
    <x v="0"/>
    <s v="MOV"/>
    <x v="0"/>
    <s v="OTH"/>
    <x v="0"/>
    <s v="OTH"/>
    <s v="Other Assets"/>
    <s v="Main offices"/>
    <s v="Main offices"/>
    <s v="OTH"/>
    <s v="1500 Systems Cabinet Mahogany Veneer"/>
    <s v="OTH"/>
    <m/>
    <s v="1500 Systems Cabinet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07/09/2005"/>
    <d v="2005-09-0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534"/>
    <m/>
    <n v="0"/>
    <n v="0"/>
    <n v="0"/>
    <n v="3534"/>
    <n v="196.33333333333303"/>
    <n v="0"/>
    <m/>
    <m/>
    <n v="-3337.666666666667"/>
    <m/>
    <s v="NO"/>
    <m/>
    <m/>
    <n v="-196.33333333333303"/>
    <n v="-16.361111111111086"/>
    <m/>
    <s v="Straight line"/>
    <n v="0"/>
    <n v="-3534"/>
    <m/>
    <m/>
    <m/>
    <m/>
    <n v="0"/>
    <n v="0"/>
    <m/>
    <m/>
    <m/>
    <s v="Purchased"/>
    <s v="Own funding"/>
    <m/>
    <s v="M. Letsoale"/>
    <m/>
    <m/>
    <m/>
    <m/>
    <m/>
  </r>
  <r>
    <s v="NHC 000249"/>
    <s v="Open plan co- business "/>
    <s v="PPE"/>
    <x v="0"/>
    <s v="MOV"/>
    <x v="0"/>
    <s v="OTH"/>
    <x v="0"/>
    <s v="OTH"/>
    <s v="Other Assets"/>
    <s v="Main offices"/>
    <s v="Main offices"/>
    <s v="OTH"/>
    <s v="Highback chair Leather"/>
    <s v="OTH"/>
    <m/>
    <s v="Highback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3/09/2005"/>
    <d v="2005-09-1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394"/>
    <m/>
    <n v="0"/>
    <n v="0"/>
    <n v="0"/>
    <n v="2394"/>
    <n v="133"/>
    <n v="0"/>
    <m/>
    <m/>
    <n v="-2261"/>
    <m/>
    <s v="NO"/>
    <m/>
    <m/>
    <n v="-133"/>
    <n v="-11.083333333333334"/>
    <m/>
    <s v="Straight line"/>
    <n v="0"/>
    <n v="-2394"/>
    <m/>
    <m/>
    <m/>
    <m/>
    <n v="0"/>
    <n v="0"/>
    <m/>
    <m/>
    <m/>
    <s v="Purchased"/>
    <s v="Own funding"/>
    <m/>
    <s v="T. Maso"/>
    <m/>
    <m/>
    <m/>
    <m/>
    <m/>
  </r>
  <r>
    <s v="NHC 000264"/>
    <s v="R11 executive boardroom "/>
    <s v="PPE"/>
    <x v="0"/>
    <s v="MOV"/>
    <x v="0"/>
    <s v="OTH"/>
    <x v="0"/>
    <s v="OTH"/>
    <s v="Other Assets"/>
    <s v="Main offices"/>
    <s v="Main offices"/>
    <s v="OTH"/>
    <s v="20 Seater B/Room Table Mahogany Veneer"/>
    <s v="OTH"/>
    <m/>
    <s v="20 Seater B/Room Table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13/09/2005"/>
    <d v="2005-09-1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0"/>
    <m/>
    <n v="0"/>
    <n v="0"/>
    <n v="0"/>
    <n v="20520"/>
    <n v="1140"/>
    <n v="0"/>
    <m/>
    <m/>
    <n v="-19380"/>
    <m/>
    <s v="NO"/>
    <m/>
    <m/>
    <n v="-1140"/>
    <n v="-95"/>
    <m/>
    <s v="Straight line"/>
    <n v="0"/>
    <n v="-20520"/>
    <m/>
    <m/>
    <m/>
    <m/>
    <n v="0"/>
    <n v="0"/>
    <m/>
    <m/>
    <m/>
    <s v="Purchased"/>
    <s v="Own funding"/>
    <m/>
    <s v="S. Skenjana"/>
    <m/>
    <m/>
    <m/>
    <m/>
    <m/>
  </r>
  <r>
    <s v="NHC 000225"/>
    <s v="Open plan co- business "/>
    <s v="PPE"/>
    <x v="0"/>
    <s v="MOV"/>
    <x v="0"/>
    <s v="OTH"/>
    <x v="0"/>
    <s v="OTH"/>
    <s v="Other Assets"/>
    <s v="Main offices"/>
    <s v="Main offices"/>
    <s v="OTH"/>
    <s v="2Div Windsor couch Leather"/>
    <s v="OTH"/>
    <m/>
    <s v="2Div Windsor couch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8208"/>
    <m/>
    <n v="0"/>
    <n v="0"/>
    <n v="0"/>
    <n v="8208"/>
    <n v="456"/>
    <n v="0"/>
    <m/>
    <m/>
    <n v="-7752"/>
    <m/>
    <s v="NO"/>
    <m/>
    <m/>
    <n v="-456"/>
    <n v="-38"/>
    <m/>
    <s v="Straight line"/>
    <n v="0"/>
    <n v="-8208"/>
    <m/>
    <m/>
    <m/>
    <m/>
    <n v="0"/>
    <n v="0"/>
    <m/>
    <m/>
    <m/>
    <s v="Purchased"/>
    <s v="Own funding"/>
    <m/>
    <s v="S.Skenjana"/>
    <m/>
    <m/>
    <m/>
    <m/>
    <m/>
  </r>
  <r>
    <s v="NHC 000227"/>
    <s v="R4 Main Board room"/>
    <s v="PPE"/>
    <x v="0"/>
    <s v="MOV"/>
    <x v="0"/>
    <s v="OTH"/>
    <x v="0"/>
    <s v="OTH"/>
    <s v="Other Assets"/>
    <s v="Main offices"/>
    <s v="Main offices"/>
    <s v="OTH"/>
    <s v="20 Hole Mahogany Venneer"/>
    <s v="OTH"/>
    <m/>
    <s v="20 Hole Mahogany Venneer"/>
    <s v="Cost Model"/>
    <s v="Owned"/>
    <s v="Core"/>
    <x v="0"/>
    <s v="Finance and Administration : Asset Management"/>
    <s v="FX005002001000000000000000000000000"/>
    <s v="IA002015001018001001000000000000000000"/>
    <n v="1"/>
    <s v="14/09/2005"/>
    <d v="2005-09-14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990"/>
    <m/>
    <n v="0"/>
    <n v="0"/>
    <n v="0"/>
    <n v="3990"/>
    <n v="221.66666666666697"/>
    <n v="0"/>
    <m/>
    <m/>
    <n v="-3768.333333333333"/>
    <m/>
    <s v="NO"/>
    <m/>
    <m/>
    <n v="-221.66666666666697"/>
    <n v="-18.472222222222246"/>
    <m/>
    <s v="Straight line"/>
    <n v="0"/>
    <n v="-3990"/>
    <m/>
    <m/>
    <m/>
    <m/>
    <n v="0"/>
    <n v="0"/>
    <m/>
    <m/>
    <m/>
    <s v="Purchased"/>
    <s v="Own funding"/>
    <m/>
    <s v="S.Skenjana"/>
    <m/>
    <m/>
    <m/>
    <m/>
    <m/>
  </r>
  <r>
    <s v="NHC 000219"/>
    <s v="R23"/>
    <s v="PPE"/>
    <x v="0"/>
    <s v="MOV"/>
    <x v="0"/>
    <s v="OTH"/>
    <x v="0"/>
    <s v="OTH"/>
    <s v="Other Assets"/>
    <s v="Main offices"/>
    <s v="Main offices"/>
    <s v="OTH"/>
    <s v="Visitors Chairs Leather"/>
    <s v="OTH"/>
    <m/>
    <s v="Visitors Chairs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482"/>
    <m/>
    <n v="0"/>
    <n v="0"/>
    <n v="0"/>
    <n v="1482"/>
    <n v="82.333333333333485"/>
    <n v="0"/>
    <m/>
    <m/>
    <n v="-1399.6666666666665"/>
    <m/>
    <s v="NO"/>
    <m/>
    <m/>
    <n v="-82.333333333333485"/>
    <n v="-6.861111111111124"/>
    <m/>
    <s v="Straight line"/>
    <n v="0"/>
    <n v="-1482"/>
    <m/>
    <m/>
    <m/>
    <m/>
    <n v="0"/>
    <n v="0"/>
    <m/>
    <m/>
    <m/>
    <s v="Purchased"/>
    <s v="Own funding"/>
    <m/>
    <s v="T.Shilakwe"/>
    <m/>
    <m/>
    <m/>
    <m/>
    <m/>
  </r>
  <r>
    <s v="NHC 000220"/>
    <s v="R29"/>
    <s v="PPE"/>
    <x v="0"/>
    <s v="MOV"/>
    <x v="0"/>
    <s v="OTH"/>
    <x v="0"/>
    <s v="OTH"/>
    <s v="Other Assets"/>
    <s v="Main offices"/>
    <s v="Main offices"/>
    <s v="OTH"/>
    <s v="Visitors Chair  Leather"/>
    <s v="OTH"/>
    <m/>
    <s v="Visitors Chair  Leather"/>
    <s v="Cost Model"/>
    <s v="Owned"/>
    <s v="Core"/>
    <x v="0"/>
    <s v="Finance and Administration : Asset Management"/>
    <s v="FX005002001000000000000000000000000"/>
    <s v="IA002015001018001001000000000000000000"/>
    <n v="1"/>
    <s v="13/09/2005"/>
    <d v="2005-09-1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482"/>
    <m/>
    <n v="0"/>
    <n v="0"/>
    <n v="0"/>
    <n v="1482"/>
    <n v="82.333333333333485"/>
    <n v="0"/>
    <m/>
    <m/>
    <n v="-1399.6666666666665"/>
    <m/>
    <s v="NO"/>
    <m/>
    <m/>
    <n v="-82.333333333333485"/>
    <n v="-6.861111111111124"/>
    <m/>
    <s v="Straight line"/>
    <n v="0"/>
    <n v="-1482"/>
    <m/>
    <m/>
    <m/>
    <m/>
    <n v="0"/>
    <n v="0"/>
    <m/>
    <m/>
    <m/>
    <s v="Purchased"/>
    <s v="Own funding"/>
    <m/>
    <s v="A. Mulaudzi"/>
    <m/>
    <m/>
    <m/>
    <m/>
    <m/>
  </r>
  <r>
    <s v="NHC 000242"/>
    <s v="R29"/>
    <s v="PPE"/>
    <x v="0"/>
    <s v="MOV"/>
    <x v="0"/>
    <s v="OTH"/>
    <x v="0"/>
    <s v="OTH"/>
    <s v="Other Assets"/>
    <s v="Main offices"/>
    <s v="Main offices"/>
    <s v="OTH"/>
    <s v="Visitors Chair Leather"/>
    <s v="OTH"/>
    <m/>
    <s v="Visitor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3/09/2005"/>
    <d v="2005-09-1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482"/>
    <m/>
    <n v="0"/>
    <n v="0"/>
    <n v="0"/>
    <n v="1482"/>
    <n v="82.333333333333485"/>
    <n v="0"/>
    <m/>
    <m/>
    <n v="-1399.6666666666665"/>
    <m/>
    <s v="NO"/>
    <m/>
    <m/>
    <n v="-82.333333333333485"/>
    <n v="-6.861111111111124"/>
    <m/>
    <s v="Straight line"/>
    <n v="0"/>
    <n v="-1482"/>
    <m/>
    <m/>
    <m/>
    <m/>
    <n v="0"/>
    <n v="0"/>
    <m/>
    <m/>
    <m/>
    <s v="Purchased"/>
    <s v="Own funding"/>
    <m/>
    <s v="A. Mulaudzi"/>
    <m/>
    <m/>
    <m/>
    <m/>
    <m/>
  </r>
  <r>
    <s v="NHC 000239"/>
    <s v="R23"/>
    <s v="PPE"/>
    <x v="0"/>
    <s v="MOV"/>
    <x v="0"/>
    <s v="OTH"/>
    <x v="0"/>
    <s v="OTH"/>
    <s v="Other Assets"/>
    <s v="Main offices"/>
    <s v="Main offices"/>
    <s v="OTH"/>
    <s v="Visitors chair Leather"/>
    <s v="OTH"/>
    <m/>
    <s v="Visitor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3/09/2005"/>
    <d v="2005-09-1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482"/>
    <m/>
    <n v="0"/>
    <n v="0"/>
    <n v="0"/>
    <n v="1482"/>
    <n v="82.333333333333485"/>
    <n v="0"/>
    <m/>
    <m/>
    <n v="-1399.6666666666665"/>
    <m/>
    <s v="NO"/>
    <m/>
    <m/>
    <n v="-82.333333333333485"/>
    <n v="-6.861111111111124"/>
    <m/>
    <s v="Straight line"/>
    <n v="0"/>
    <n v="-1482"/>
    <m/>
    <m/>
    <m/>
    <m/>
    <n v="0"/>
    <n v="0"/>
    <m/>
    <m/>
    <m/>
    <s v="Purchased"/>
    <s v="Own funding"/>
    <m/>
    <s v="Tl. Shilakwe"/>
    <m/>
    <m/>
    <m/>
    <m/>
    <m/>
  </r>
  <r>
    <s v="NHC 000255"/>
    <s v="R15 executive office"/>
    <s v="PPE"/>
    <x v="0"/>
    <s v="MOV"/>
    <x v="0"/>
    <s v="OTH"/>
    <x v="0"/>
    <s v="OTH"/>
    <s v="Other Assets"/>
    <s v="Main offices"/>
    <s v="Main offices"/>
    <s v="OTH"/>
    <s v="Visitors chair Leather"/>
    <s v="OTH"/>
    <m/>
    <s v="Visitor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3/09/2005"/>
    <d v="2005-09-1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482"/>
    <m/>
    <n v="0"/>
    <n v="0"/>
    <n v="0"/>
    <n v="1482"/>
    <n v="82.333333333333485"/>
    <n v="0"/>
    <m/>
    <m/>
    <n v="-1399.6666666666665"/>
    <m/>
    <s v="NO"/>
    <m/>
    <m/>
    <n v="-82.333333333333485"/>
    <n v="-6.861111111111124"/>
    <m/>
    <s v="Straight line"/>
    <n v="0"/>
    <n v="-1482"/>
    <m/>
    <m/>
    <m/>
    <m/>
    <n v="0"/>
    <n v="0"/>
    <m/>
    <m/>
    <m/>
    <s v="Purchased"/>
    <s v="Own funding"/>
    <m/>
    <s v="C. Van Huyssteen"/>
    <m/>
    <m/>
    <m/>
    <m/>
    <m/>
  </r>
  <r>
    <s v="NHC 000236"/>
    <s v="R22"/>
    <s v="PPE"/>
    <x v="0"/>
    <s v="MOV"/>
    <x v="0"/>
    <s v="OTH"/>
    <x v="0"/>
    <s v="OTH"/>
    <s v="Other Assets"/>
    <s v="Main offices"/>
    <s v="Main offices"/>
    <s v="OTH"/>
    <s v="Visitors chair Leather"/>
    <s v="OTH"/>
    <m/>
    <s v="Visitor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3/09/2005"/>
    <d v="2005-09-1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482"/>
    <m/>
    <n v="0"/>
    <n v="0"/>
    <n v="0"/>
    <n v="1482"/>
    <n v="82.333333333333485"/>
    <n v="0"/>
    <m/>
    <m/>
    <n v="-1399.6666666666665"/>
    <m/>
    <s v="NO"/>
    <m/>
    <m/>
    <n v="-82.333333333333485"/>
    <n v="-6.861111111111124"/>
    <m/>
    <s v="Straight line"/>
    <n v="0"/>
    <n v="-1482"/>
    <m/>
    <m/>
    <m/>
    <m/>
    <n v="0"/>
    <n v="0"/>
    <m/>
    <m/>
    <m/>
    <s v="Purchased"/>
    <s v="Own funding"/>
    <m/>
    <s v="SP. Pudikabekwa"/>
    <m/>
    <m/>
    <m/>
    <m/>
    <m/>
  </r>
  <r>
    <s v="NHC 000223"/>
    <s v="R15 executive offices "/>
    <s v="PPE"/>
    <x v="0"/>
    <s v="MOV"/>
    <x v="0"/>
    <s v="OTH"/>
    <x v="0"/>
    <s v="OTH"/>
    <s v="Other Assets"/>
    <s v="Main offices"/>
    <s v="Main offices"/>
    <s v="OTH"/>
    <s v="Visitors chair Leather"/>
    <s v="OTH"/>
    <m/>
    <s v="Visitor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3/09/2005"/>
    <d v="2005-09-1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482"/>
    <m/>
    <n v="0"/>
    <n v="0"/>
    <n v="0"/>
    <n v="1482"/>
    <n v="82.333333333333485"/>
    <n v="0"/>
    <m/>
    <m/>
    <n v="-1399.6666666666665"/>
    <m/>
    <s v="NO"/>
    <m/>
    <m/>
    <n v="-82.333333333333485"/>
    <n v="-6.861111111111124"/>
    <m/>
    <s v="Straight line"/>
    <n v="0"/>
    <n v="-1482"/>
    <m/>
    <m/>
    <m/>
    <m/>
    <n v="0"/>
    <n v="0"/>
    <m/>
    <m/>
    <m/>
    <s v="Purchased"/>
    <s v="Own funding"/>
    <m/>
    <s v="C. VAN Huyssteen"/>
    <m/>
    <m/>
    <m/>
    <m/>
    <m/>
  </r>
  <r>
    <s v="NHC 000224"/>
    <s v="Open plan co- business "/>
    <s v="PPE"/>
    <x v="0"/>
    <s v="MOV"/>
    <x v="0"/>
    <s v="OTH"/>
    <x v="0"/>
    <s v="OTH"/>
    <s v="Other Assets"/>
    <s v="Main offices"/>
    <s v="Main offices"/>
    <s v="OTH"/>
    <s v="Visitors chair Leather"/>
    <s v="OTH"/>
    <m/>
    <s v="Visitor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3/09/2005"/>
    <d v="2005-09-1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482"/>
    <m/>
    <n v="0"/>
    <n v="0"/>
    <n v="0"/>
    <n v="1482"/>
    <n v="82.333333333333485"/>
    <n v="0"/>
    <m/>
    <m/>
    <n v="-1399.6666666666665"/>
    <m/>
    <s v="NO"/>
    <m/>
    <m/>
    <n v="-82.333333333333485"/>
    <n v="-6.861111111111124"/>
    <m/>
    <s v="Straight line"/>
    <n v="0"/>
    <n v="-1482"/>
    <m/>
    <m/>
    <m/>
    <m/>
    <n v="0"/>
    <n v="0"/>
    <m/>
    <m/>
    <m/>
    <s v="Purchased"/>
    <s v="Own funding"/>
    <m/>
    <s v="T. Maso"/>
    <m/>
    <m/>
    <m/>
    <m/>
    <m/>
  </r>
  <r>
    <s v="NHC 000265"/>
    <s v="R27"/>
    <s v="PPE"/>
    <x v="0"/>
    <s v="MOV"/>
    <x v="0"/>
    <s v="OTH"/>
    <x v="0"/>
    <s v="OTH"/>
    <s v="Other Assets"/>
    <s v="Main offices"/>
    <s v="Main offices"/>
    <s v="OTH"/>
    <s v="Visitors chair Leather"/>
    <s v="OTH"/>
    <m/>
    <s v="Visitor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3/09/2005"/>
    <d v="2005-09-1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482"/>
    <m/>
    <n v="0"/>
    <n v="0"/>
    <n v="0"/>
    <n v="1482"/>
    <n v="82.333333333333485"/>
    <n v="0"/>
    <m/>
    <m/>
    <n v="-1399.6666666666665"/>
    <m/>
    <s v="NO"/>
    <m/>
    <m/>
    <n v="-82.333333333333485"/>
    <n v="-6.861111111111124"/>
    <m/>
    <s v="Straight line"/>
    <n v="0"/>
    <n v="-1482"/>
    <m/>
    <m/>
    <m/>
    <m/>
    <n v="0"/>
    <n v="0"/>
    <m/>
    <m/>
    <m/>
    <s v="Purchased"/>
    <s v="Own funding"/>
    <m/>
    <s v="B. Maqasela"/>
    <m/>
    <m/>
    <m/>
    <m/>
    <m/>
  </r>
  <r>
    <s v="NHC 000266"/>
    <s v="R15 executive office"/>
    <s v="PPE"/>
    <x v="0"/>
    <s v="MOV"/>
    <x v="0"/>
    <s v="OTH"/>
    <x v="0"/>
    <s v="OTH"/>
    <s v="Other Assets"/>
    <s v="Main offices"/>
    <s v="Main offices"/>
    <s v="OTH"/>
    <s v="Visitors chair Leather"/>
    <s v="OTH"/>
    <m/>
    <s v="Visitor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3/09/2005"/>
    <d v="2005-09-1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482"/>
    <m/>
    <n v="0"/>
    <n v="0"/>
    <n v="0"/>
    <n v="1482"/>
    <n v="82.333333333333485"/>
    <n v="0"/>
    <m/>
    <m/>
    <n v="-1399.6666666666665"/>
    <m/>
    <s v="NO"/>
    <m/>
    <m/>
    <n v="-82.333333333333485"/>
    <n v="-6.861111111111124"/>
    <m/>
    <s v="Straight line"/>
    <n v="0"/>
    <n v="-1482"/>
    <m/>
    <m/>
    <m/>
    <m/>
    <n v="0"/>
    <n v="0"/>
    <m/>
    <m/>
    <m/>
    <s v="Purchased"/>
    <s v="Own funding"/>
    <m/>
    <s v="C. Van Huyssteen"/>
    <m/>
    <m/>
    <m/>
    <m/>
    <m/>
  </r>
  <r>
    <s v="NHC 000268"/>
    <s v="R11 executive boardroom 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4 - Poor (11-25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S. Skenjana"/>
    <m/>
    <m/>
    <m/>
    <m/>
    <m/>
  </r>
  <r>
    <s v="NHC 000269"/>
    <s v="R11 executive boardroom 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S. Skenjana"/>
    <m/>
    <m/>
    <m/>
    <m/>
    <m/>
  </r>
  <r>
    <s v="NHC 000270"/>
    <s v="R1 Open plan finance 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S. Buthelezi"/>
    <m/>
    <m/>
    <m/>
    <m/>
    <m/>
  </r>
  <r>
    <s v="NHC 000271"/>
    <s v="R31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09/09/2005"/>
    <d v="2005-09-09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A.MULAUDZI"/>
    <m/>
    <m/>
    <m/>
    <m/>
    <m/>
  </r>
  <r>
    <s v="NHC 000240"/>
    <s v="R13 CEO Offce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T. Manetsi"/>
    <m/>
    <m/>
    <m/>
    <m/>
    <m/>
  </r>
  <r>
    <s v="NHC 000241"/>
    <s v="R11 executive board room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S. Skenjana "/>
    <m/>
    <m/>
    <m/>
    <m/>
    <m/>
  </r>
  <r>
    <s v="NHC 000273"/>
    <s v="R10 Executive Office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M. Chamane "/>
    <m/>
    <m/>
    <m/>
    <m/>
    <m/>
  </r>
  <r>
    <s v="NHC 000274"/>
    <s v="R11 executive boardroom 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S. Skenjana"/>
    <m/>
    <m/>
    <m/>
    <m/>
    <m/>
  </r>
  <r>
    <s v="NHC 000275"/>
    <s v="R10 executive offices 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M. Chamane"/>
    <m/>
    <m/>
    <m/>
    <m/>
    <m/>
  </r>
  <r>
    <s v="NHC 000276"/>
    <s v="R4 main boardroom 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S. Skenjana"/>
    <m/>
    <m/>
    <m/>
    <m/>
    <m/>
  </r>
  <r>
    <s v="NHC 000278"/>
    <s v="R6 executive office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T. Maake"/>
    <m/>
    <m/>
    <m/>
    <m/>
    <m/>
  </r>
  <r>
    <s v="NHC 000279"/>
    <s v="R28 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M. TAWANE"/>
    <m/>
    <m/>
    <m/>
    <m/>
    <m/>
  </r>
  <r>
    <s v="NHC 000282"/>
    <s v="R11 executive board room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S. Skenjana "/>
    <m/>
    <m/>
    <m/>
    <m/>
    <m/>
  </r>
  <r>
    <s v="NHC 000284"/>
    <s v="R6 executive offices 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T. Maake"/>
    <m/>
    <m/>
    <m/>
    <m/>
    <m/>
  </r>
  <r>
    <s v="NHC000250"/>
    <s v="R1 Main Reception "/>
    <s v="PPE"/>
    <x v="0"/>
    <s v="MOV"/>
    <x v="0"/>
    <s v="OTH"/>
    <x v="0"/>
    <s v="OTH"/>
    <s v="Other Assets"/>
    <s v="Main offices"/>
    <s v="Main offices"/>
    <s v="OTH"/>
    <s v="Reception counter"/>
    <s v="OTH"/>
    <m/>
    <s v="Reception counter"/>
    <s v="Cost Model"/>
    <s v="Owned"/>
    <s v="Core"/>
    <x v="0"/>
    <s v="Finance and Administration : Asset Management"/>
    <s v="FX005002001000000000000000000000000"/>
    <s v="IA002015001018001001000000000000000000"/>
    <n v="1"/>
    <s v="28/09/2005"/>
    <d v="2005-09-28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7410"/>
    <m/>
    <n v="0"/>
    <n v="0"/>
    <n v="0"/>
    <n v="7410"/>
    <n v="411.66666666666606"/>
    <n v="0"/>
    <m/>
    <m/>
    <n v="-6998.3333333333339"/>
    <m/>
    <s v="NO"/>
    <m/>
    <m/>
    <n v="-411.66666666666606"/>
    <n v="-34.305555555555507"/>
    <m/>
    <s v="Straight line"/>
    <n v="0"/>
    <n v="-7410"/>
    <m/>
    <m/>
    <m/>
    <m/>
    <n v="0"/>
    <n v="0"/>
    <m/>
    <m/>
    <m/>
    <s v="Purchased"/>
    <s v="Own funding"/>
    <m/>
    <s v="M. Letsoale"/>
    <m/>
    <m/>
    <m/>
    <m/>
    <m/>
  </r>
  <r>
    <s v="NHC000289"/>
    <s v="R8 executive office"/>
    <s v="PPE"/>
    <x v="0"/>
    <s v="MOV"/>
    <x v="0"/>
    <s v="OTH"/>
    <x v="0"/>
    <s v="OTH"/>
    <s v="Other Assets"/>
    <s v="Main offices"/>
    <s v="Main offices"/>
    <s v="OTH"/>
    <s v="Cabinet"/>
    <s v="OTH"/>
    <m/>
    <s v="Cabinet"/>
    <s v="Cost Model"/>
    <s v="Owned"/>
    <s v="Core"/>
    <x v="0"/>
    <s v="Finance and Administration : Asset Management"/>
    <s v="FX005002001000000000000000000000000"/>
    <s v="IA002015001018001001000000000000000000"/>
    <n v="1"/>
    <s v="31/03/2004"/>
    <d v="2004-03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100"/>
    <m/>
    <n v="0"/>
    <n v="0"/>
    <n v="0"/>
    <n v="2100"/>
    <n v="116.66666666666652"/>
    <n v="0"/>
    <m/>
    <m/>
    <n v="-1983.3333333333335"/>
    <m/>
    <s v="NO"/>
    <m/>
    <m/>
    <n v="-116.66666666666652"/>
    <n v="-9.722222222222209"/>
    <m/>
    <s v="Straight line"/>
    <n v="0"/>
    <n v="-2100"/>
    <m/>
    <m/>
    <m/>
    <m/>
    <n v="0"/>
    <n v="0"/>
    <m/>
    <m/>
    <m/>
    <s v="Purchased"/>
    <s v="Own funding"/>
    <m/>
    <s v="N. Ngabeni"/>
    <m/>
    <m/>
    <m/>
    <m/>
    <m/>
  </r>
  <r>
    <s v="NHC000296"/>
    <s v="Open plan co-business "/>
    <s v="PPE"/>
    <x v="0"/>
    <s v="MOV"/>
    <x v="0"/>
    <s v="OTH"/>
    <x v="0"/>
    <s v="OTH"/>
    <s v="Other Assets"/>
    <s v="Main offices"/>
    <s v="Main offices"/>
    <s v="OTH"/>
    <s v="4 Drawer cabinet"/>
    <s v="OTH"/>
    <m/>
    <s v="4 Drawer cabinet"/>
    <s v="Cost Model"/>
    <s v="Owned"/>
    <s v="Core"/>
    <x v="0"/>
    <s v="Finance and Administration : Asset Management"/>
    <s v="FX005002001000000000000000000000000"/>
    <s v="IA002015001018001001000000000000000000"/>
    <n v="1"/>
    <s v="30/03/2007"/>
    <d v="2007-03-30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534"/>
    <m/>
    <n v="0"/>
    <n v="0"/>
    <n v="0"/>
    <n v="3534"/>
    <n v="196.33333333333303"/>
    <n v="0"/>
    <m/>
    <m/>
    <n v="-3337.666666666667"/>
    <m/>
    <s v="NO"/>
    <m/>
    <m/>
    <n v="-196.33333333333303"/>
    <n v="-16.361111111111086"/>
    <m/>
    <s v="Straight line"/>
    <n v="0"/>
    <n v="-3534"/>
    <m/>
    <m/>
    <m/>
    <m/>
    <n v="0"/>
    <n v="0"/>
    <m/>
    <m/>
    <m/>
    <s v="Purchased"/>
    <s v="Own funding"/>
    <m/>
    <s v="P.f. Ceza"/>
    <m/>
    <m/>
    <m/>
    <m/>
    <m/>
  </r>
  <r>
    <s v="NHC000297"/>
    <s v="R25"/>
    <s v="PPE"/>
    <x v="0"/>
    <s v="MOV"/>
    <x v="0"/>
    <s v="OTH"/>
    <x v="0"/>
    <s v="OTH"/>
    <s v="Other Assets"/>
    <s v="Main offices"/>
    <s v="Main offices"/>
    <s v="OTH"/>
    <s v="Desk"/>
    <s v="OTH"/>
    <m/>
    <s v="Desk"/>
    <s v="Cost Model"/>
    <s v="Owned"/>
    <s v="Core"/>
    <x v="0"/>
    <s v="Finance and Administration : Asset Management"/>
    <s v="FX005002001000000000000000000000000"/>
    <s v="IA002015001018001001000000000000000000"/>
    <n v="1"/>
    <s v="30/03/2007"/>
    <d v="2007-03-30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9690"/>
    <m/>
    <n v="0"/>
    <n v="0"/>
    <n v="0"/>
    <n v="9690"/>
    <n v="538.33333333333212"/>
    <n v="0"/>
    <m/>
    <m/>
    <n v="-9151.6666666666679"/>
    <m/>
    <s v="NO"/>
    <m/>
    <m/>
    <n v="-538.33333333333212"/>
    <n v="-44.861111111111008"/>
    <m/>
    <s v="Straight line"/>
    <n v="0"/>
    <n v="-9690"/>
    <m/>
    <m/>
    <m/>
    <m/>
    <n v="0"/>
    <n v="0"/>
    <m/>
    <m/>
    <m/>
    <s v="Purchased"/>
    <s v="Own funding"/>
    <m/>
    <s v="L. Mphafe"/>
    <m/>
    <m/>
    <m/>
    <m/>
    <m/>
  </r>
  <r>
    <s v="NHC000298"/>
    <n v="0"/>
    <s v="PPE"/>
    <x v="0"/>
    <s v="MOV"/>
    <x v="0"/>
    <s v="OTH"/>
    <x v="0"/>
    <s v="OTH"/>
    <s v="Other Assets"/>
    <s v="Main offices"/>
    <s v="Main offices"/>
    <s v="OTH"/>
    <s v="Table Extension"/>
    <s v="OTH"/>
    <m/>
    <s v="Table Extension"/>
    <s v="Cost Model"/>
    <s v="Owned"/>
    <s v="Core"/>
    <x v="0"/>
    <s v="Finance and Administration : Asset Management"/>
    <s v="FX005002001000000000000000000000000"/>
    <s v="IA002015001018001001000000000000000000"/>
    <n v="1"/>
    <s v="30/03/2007"/>
    <d v="2007-03-30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3306"/>
    <m/>
    <n v="0"/>
    <n v="0"/>
    <n v="0"/>
    <n v="3306"/>
    <n v="183.66666666666697"/>
    <n v="0"/>
    <m/>
    <m/>
    <n v="-3122.333333333333"/>
    <m/>
    <s v="NO"/>
    <m/>
    <m/>
    <n v="-183.66666666666697"/>
    <n v="-15.30555555555558"/>
    <m/>
    <s v="Straight line"/>
    <n v="0"/>
    <n v="-3306"/>
    <m/>
    <m/>
    <m/>
    <m/>
    <n v="0"/>
    <n v="0"/>
    <m/>
    <m/>
    <m/>
    <s v="Purchased"/>
    <s v="Own funding"/>
    <m/>
    <n v="0"/>
    <m/>
    <m/>
    <m/>
    <m/>
    <m/>
  </r>
  <r>
    <s v="NHC000295"/>
    <s v="R27"/>
    <s v="PPE"/>
    <x v="0"/>
    <s v="MOV"/>
    <x v="0"/>
    <s v="OTH"/>
    <x v="0"/>
    <s v="OTH"/>
    <s v="Other Assets"/>
    <s v="Main offices"/>
    <s v="Main offices"/>
    <s v="OTH"/>
    <s v="3 Drawer Pedestal"/>
    <s v="OTH"/>
    <m/>
    <s v="3 Drawer Pedestal"/>
    <s v="Cost Model"/>
    <s v="Owned"/>
    <s v="Core"/>
    <x v="0"/>
    <s v="Finance and Administration : Asset Management"/>
    <s v="FX005002001000000000000000000000000"/>
    <s v="IA002015001018001001000000000000000000"/>
    <n v="1"/>
    <s v="30/03/2007"/>
    <d v="2007-03-30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824"/>
    <m/>
    <n v="0"/>
    <n v="0"/>
    <n v="0"/>
    <n v="1824"/>
    <n v="101.33333333333348"/>
    <n v="0"/>
    <m/>
    <m/>
    <n v="-1722.6666666666665"/>
    <m/>
    <s v="NO"/>
    <m/>
    <m/>
    <n v="-101.33333333333348"/>
    <n v="-8.4444444444444571"/>
    <m/>
    <s v="Straight line"/>
    <n v="0"/>
    <n v="-1824"/>
    <m/>
    <m/>
    <m/>
    <m/>
    <n v="0"/>
    <n v="0"/>
    <m/>
    <m/>
    <m/>
    <s v="Purchased"/>
    <s v="Own funding"/>
    <m/>
    <s v="B. Maqasela"/>
    <m/>
    <m/>
    <m/>
    <m/>
    <m/>
  </r>
  <r>
    <s v="NHC 000319"/>
    <s v="R13 CEO Offce"/>
    <s v="PPE"/>
    <x v="0"/>
    <s v="MOV"/>
    <x v="0"/>
    <s v="OTH"/>
    <x v="0"/>
    <s v="OTH"/>
    <s v="Other Assets"/>
    <s v="Main offices"/>
    <s v="Main offices"/>
    <s v="OTH"/>
    <s v="Artifacts"/>
    <s v="OTH"/>
    <m/>
    <s v="Artifacts"/>
    <s v="Cost Model"/>
    <s v="Owned"/>
    <s v="Core"/>
    <x v="0"/>
    <s v="Finance and Administration : Asset Management"/>
    <s v="FX005002001000000000000000000000000"/>
    <s v="IA002015001018001001000000000000000000"/>
    <n v="1"/>
    <s v="10/08/2007"/>
    <d v="2007-08-10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020.34"/>
    <m/>
    <n v="0"/>
    <n v="0"/>
    <n v="0"/>
    <n v="1020.34"/>
    <n v="56.685555555555652"/>
    <n v="0"/>
    <m/>
    <m/>
    <n v="-963.65444444444438"/>
    <m/>
    <s v="NO"/>
    <m/>
    <m/>
    <n v="-56.685555555555652"/>
    <n v="-4.723796296296304"/>
    <m/>
    <s v="Straight line"/>
    <n v="0"/>
    <n v="-1020.34"/>
    <m/>
    <m/>
    <m/>
    <m/>
    <n v="0"/>
    <n v="0"/>
    <m/>
    <m/>
    <m/>
    <s v="Purchased"/>
    <s v="Own funding"/>
    <m/>
    <s v="T. Manetsi"/>
    <m/>
    <m/>
    <m/>
    <m/>
    <m/>
  </r>
  <r>
    <s v="NHC 000320"/>
    <s v="R13 ceo office "/>
    <s v="PPE"/>
    <x v="0"/>
    <s v="MOV"/>
    <x v="0"/>
    <s v="OTH"/>
    <x v="0"/>
    <s v="OTH"/>
    <s v="Other Assets"/>
    <s v="Main offices"/>
    <s v="Main offices"/>
    <s v="OTH"/>
    <s v="Artifacts"/>
    <s v="OTH"/>
    <m/>
    <s v="Artifacts"/>
    <s v="Cost Model"/>
    <s v="Owned"/>
    <s v="Core"/>
    <x v="0"/>
    <s v="Finance and Administration : Asset Management"/>
    <s v="FX005002001000000000000000000000000"/>
    <s v="IA002015001018001001000000000000000000"/>
    <n v="1"/>
    <s v="10/08/2007"/>
    <d v="2007-08-10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020.34"/>
    <m/>
    <n v="0"/>
    <n v="0"/>
    <n v="0"/>
    <n v="1020.34"/>
    <n v="56.685555555555652"/>
    <n v="0"/>
    <m/>
    <m/>
    <n v="-963.65444444444438"/>
    <m/>
    <s v="NO"/>
    <m/>
    <m/>
    <n v="-56.685555555555652"/>
    <n v="-4.723796296296304"/>
    <m/>
    <s v="Straight line"/>
    <n v="0"/>
    <n v="-1020.34"/>
    <m/>
    <m/>
    <m/>
    <m/>
    <n v="0"/>
    <n v="0"/>
    <m/>
    <m/>
    <m/>
    <s v="Purchased"/>
    <s v="Own funding"/>
    <m/>
    <s v="T. Manetsi"/>
    <m/>
    <m/>
    <m/>
    <m/>
    <m/>
  </r>
  <r>
    <s v="NHC 000322"/>
    <s v="R1 Main Reception "/>
    <s v="PPE"/>
    <x v="0"/>
    <s v="MOV"/>
    <x v="0"/>
    <s v="OTH"/>
    <x v="0"/>
    <s v="OTH"/>
    <s v="Other Assets"/>
    <s v="Main offices"/>
    <s v="Main offices"/>
    <s v="OTH"/>
    <s v="Artifacts"/>
    <s v="OTH"/>
    <m/>
    <s v="Artifacts"/>
    <s v="Cost Model"/>
    <s v="Owned"/>
    <s v="Core"/>
    <x v="0"/>
    <s v="Finance and Administration : Asset Management"/>
    <s v="FX005002001000000000000000000000000"/>
    <s v="IA002015001018001001000000000000000000"/>
    <n v="1"/>
    <s v="10/08/2007"/>
    <d v="2007-08-10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020.34"/>
    <m/>
    <n v="0"/>
    <n v="0"/>
    <n v="0"/>
    <n v="1020.34"/>
    <n v="56.685555555555652"/>
    <n v="0"/>
    <m/>
    <m/>
    <n v="-963.65444444444438"/>
    <m/>
    <s v="NO"/>
    <m/>
    <m/>
    <n v="-56.685555555555652"/>
    <n v="-4.723796296296304"/>
    <m/>
    <s v="Straight line"/>
    <n v="0"/>
    <n v="-1020.34"/>
    <m/>
    <m/>
    <m/>
    <m/>
    <n v="0"/>
    <n v="0"/>
    <m/>
    <m/>
    <m/>
    <s v="Purchased"/>
    <s v="Own funding"/>
    <m/>
    <s v="M. Letsoale"/>
    <m/>
    <m/>
    <m/>
    <m/>
    <m/>
  </r>
  <r>
    <s v="NHC 000324"/>
    <s v="R13 CEO Offce"/>
    <s v="PPE"/>
    <x v="0"/>
    <s v="MOV"/>
    <x v="0"/>
    <s v="OTH"/>
    <x v="0"/>
    <s v="OTH"/>
    <s v="Other Assets"/>
    <s v="Main offices"/>
    <s v="Main offices"/>
    <s v="OTH"/>
    <s v="Potrait"/>
    <s v="OTH"/>
    <m/>
    <s v="Potrait"/>
    <s v="Cost Model"/>
    <s v="Owned"/>
    <s v="Core"/>
    <x v="0"/>
    <s v="Finance and Administration : Asset Management"/>
    <s v="FX005002001000000000000000000000000"/>
    <s v="IA002015001018001001000000000000000000"/>
    <n v="1"/>
    <s v="10/08/2007"/>
    <d v="2007-08-10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4733.5200000000004"/>
    <m/>
    <n v="0"/>
    <n v="0"/>
    <n v="0"/>
    <n v="4733.5200000000004"/>
    <n v="262.97333333333336"/>
    <n v="0"/>
    <m/>
    <m/>
    <n v="-4470.5466666666671"/>
    <m/>
    <s v="NO"/>
    <m/>
    <m/>
    <n v="-262.97333333333336"/>
    <n v="-21.914444444444445"/>
    <m/>
    <s v="Straight line"/>
    <n v="0"/>
    <n v="-4733.5200000000004"/>
    <m/>
    <m/>
    <m/>
    <m/>
    <n v="0"/>
    <n v="0"/>
    <m/>
    <m/>
    <m/>
    <s v="Purchased"/>
    <s v="Own funding"/>
    <m/>
    <s v="T. Manetsi"/>
    <m/>
    <m/>
    <m/>
    <m/>
    <m/>
  </r>
  <r>
    <s v="NHC 000325"/>
    <s v="R13 CEO Offce"/>
    <s v="PPE"/>
    <x v="0"/>
    <s v="MOV"/>
    <x v="0"/>
    <s v="OTH"/>
    <x v="0"/>
    <s v="OTH"/>
    <s v="Other Assets"/>
    <s v="Main offices"/>
    <s v="Main offices"/>
    <s v="OTH"/>
    <s v="Potrait"/>
    <s v="OTH"/>
    <m/>
    <s v="Potrait"/>
    <s v="Cost Model"/>
    <s v="Owned"/>
    <s v="Core"/>
    <x v="0"/>
    <s v="Finance and Administration : Asset Management"/>
    <s v="FX005002001000000000000000000000000"/>
    <s v="IA002015001018001001000000000000000000"/>
    <n v="1"/>
    <s v="10/08/2007"/>
    <d v="2007-08-10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4733.5200000000004"/>
    <m/>
    <n v="0"/>
    <n v="0"/>
    <n v="0"/>
    <n v="4733.5200000000004"/>
    <n v="262.97333333333336"/>
    <n v="0"/>
    <m/>
    <m/>
    <n v="-4470.5466666666671"/>
    <m/>
    <s v="NO"/>
    <m/>
    <m/>
    <n v="-262.97333333333336"/>
    <n v="-21.914444444444445"/>
    <m/>
    <s v="Straight line"/>
    <n v="0"/>
    <n v="-4733.5200000000004"/>
    <m/>
    <m/>
    <m/>
    <m/>
    <n v="0"/>
    <n v="0"/>
    <m/>
    <m/>
    <m/>
    <s v="Purchased"/>
    <s v="Own funding"/>
    <m/>
    <s v="T. Manetsi"/>
    <m/>
    <m/>
    <m/>
    <m/>
    <m/>
  </r>
  <r>
    <s v="NHC 00337"/>
    <s v="Basement storage "/>
    <s v="PPE"/>
    <x v="0"/>
    <s v="MOV"/>
    <x v="0"/>
    <s v="OTH"/>
    <x v="0"/>
    <s v="OTH"/>
    <s v="Other Assets"/>
    <s v="Main offices"/>
    <s v="Main offices"/>
    <s v="OTH"/>
    <s v="Drum of Africa with glass top"/>
    <s v="OTH"/>
    <m/>
    <s v="Drum of Africa with glass top"/>
    <s v="Cost Model"/>
    <s v="Owned"/>
    <s v="Core"/>
    <x v="0"/>
    <s v="Finance and Administration : Asset Management"/>
    <s v="FX005002001000000000000000000000000"/>
    <s v="IA002015001018001001000000000000000000"/>
    <n v="1"/>
    <s v="10/08/2007"/>
    <d v="2007-08-10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1262.27"/>
    <m/>
    <n v="0"/>
    <n v="0"/>
    <n v="0"/>
    <n v="1262.27"/>
    <n v="70.126111111111186"/>
    <n v="0"/>
    <m/>
    <m/>
    <n v="-1192.1438888888888"/>
    <m/>
    <s v="NO"/>
    <m/>
    <m/>
    <n v="-70.126111111111186"/>
    <n v="-5.8438425925925985"/>
    <m/>
    <s v="Straight line"/>
    <n v="0"/>
    <n v="-1262.27"/>
    <m/>
    <m/>
    <m/>
    <m/>
    <n v="0"/>
    <n v="0"/>
    <m/>
    <m/>
    <m/>
    <s v="Purchased"/>
    <s v="Own funding"/>
    <m/>
    <s v="S. Skenjana"/>
    <m/>
    <m/>
    <m/>
    <m/>
    <m/>
  </r>
  <r>
    <s v="NHC000349"/>
    <n v="0"/>
    <s v="PPE"/>
    <x v="0"/>
    <s v="MOV"/>
    <x v="0"/>
    <s v="OTH"/>
    <x v="0"/>
    <s v="OTH"/>
    <s v="Other Assets"/>
    <s v="Main offices"/>
    <s v="Main offices"/>
    <s v="OTH"/>
    <s v="Side Table with Glass Top"/>
    <s v="OTH"/>
    <m/>
    <s v="Side Table with Glass Top"/>
    <s v="Cost Model"/>
    <s v="Owned"/>
    <s v="Core"/>
    <x v="0"/>
    <s v="Finance and Administration : Asset Management"/>
    <s v="FX005002001000000000000000000000000"/>
    <s v="IA002015001018001001000000000000000000"/>
    <n v="1"/>
    <s v="31/01/2008"/>
    <d v="2008-01-31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957.6"/>
    <m/>
    <n v="0"/>
    <n v="0"/>
    <n v="0"/>
    <n v="957.6"/>
    <n v="53.199999999999932"/>
    <n v="0"/>
    <m/>
    <m/>
    <n v="-904.40000000000009"/>
    <m/>
    <s v="NO"/>
    <m/>
    <m/>
    <n v="-53.199999999999932"/>
    <n v="-4.4333333333333274"/>
    <m/>
    <s v="Straight line"/>
    <n v="0"/>
    <n v="-957.6"/>
    <m/>
    <m/>
    <m/>
    <m/>
    <n v="0"/>
    <n v="0"/>
    <m/>
    <m/>
    <m/>
    <s v="Purchased"/>
    <s v="Own funding"/>
    <m/>
    <n v="0"/>
    <m/>
    <m/>
    <m/>
    <m/>
    <m/>
  </r>
  <r>
    <s v="NHC000350"/>
    <s v="R1 Main Reception "/>
    <s v="PPE"/>
    <x v="0"/>
    <s v="MOV"/>
    <x v="0"/>
    <s v="OTH"/>
    <x v="0"/>
    <s v="OTH"/>
    <s v="Other Assets"/>
    <s v="Main offices"/>
    <s v="Main offices"/>
    <s v="OTH"/>
    <s v="NHC Pot with Reeds"/>
    <s v="OTH"/>
    <m/>
    <s v="NHC Pot with Reeds"/>
    <s v="Cost Model"/>
    <s v="Owned"/>
    <s v="Core"/>
    <x v="0"/>
    <s v="Finance and Administration : Asset Management"/>
    <s v="FX005002001000000000000000000000000"/>
    <s v="IA002015001018001001000000000000000000"/>
    <n v="1"/>
    <s v="31/01/2008"/>
    <d v="2008-01-31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1750"/>
    <m/>
    <n v="0"/>
    <n v="0"/>
    <n v="0"/>
    <n v="1750"/>
    <n v="97.222222222222172"/>
    <n v="0"/>
    <m/>
    <m/>
    <n v="-1652.7777777777778"/>
    <m/>
    <s v="NO"/>
    <m/>
    <m/>
    <n v="-97.222222222222172"/>
    <n v="-8.1018518518518476"/>
    <m/>
    <s v="Straight line"/>
    <n v="0"/>
    <n v="-1750"/>
    <m/>
    <m/>
    <m/>
    <m/>
    <n v="0"/>
    <n v="0"/>
    <m/>
    <m/>
    <m/>
    <s v="Purchased"/>
    <s v="Own funding"/>
    <m/>
    <s v="M. Letsoale"/>
    <m/>
    <m/>
    <m/>
    <m/>
    <m/>
  </r>
  <r>
    <s v="NHC000351"/>
    <s v="R1 Main Reception "/>
    <s v="PPE"/>
    <x v="0"/>
    <s v="MOV"/>
    <x v="0"/>
    <s v="OTH"/>
    <x v="0"/>
    <s v="OTH"/>
    <s v="Other Assets"/>
    <s v="Main offices"/>
    <s v="Main offices"/>
    <s v="OTH"/>
    <s v="NHC Pot with Reeds"/>
    <s v="OTH"/>
    <m/>
    <s v="NHC Pot with Reeds"/>
    <s v="Cost Model"/>
    <s v="Owned"/>
    <s v="Core"/>
    <x v="0"/>
    <s v="Finance and Administration : Asset Management"/>
    <s v="FX005002001000000000000000000000000"/>
    <s v="IA002015001018001001000000000000000000"/>
    <n v="1"/>
    <s v="31/01/2008"/>
    <d v="2008-01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750"/>
    <m/>
    <n v="0"/>
    <n v="0"/>
    <n v="0"/>
    <n v="1750"/>
    <n v="97.222222222222172"/>
    <n v="0"/>
    <m/>
    <m/>
    <n v="-1652.7777777777778"/>
    <m/>
    <s v="NO"/>
    <m/>
    <m/>
    <n v="-97.222222222222172"/>
    <n v="-8.1018518518518476"/>
    <m/>
    <s v="Straight line"/>
    <n v="0"/>
    <n v="-1750"/>
    <m/>
    <m/>
    <m/>
    <m/>
    <n v="0"/>
    <n v="0"/>
    <m/>
    <m/>
    <m/>
    <s v="Purchased"/>
    <s v="Own funding"/>
    <m/>
    <s v="M. Letsoale"/>
    <m/>
    <m/>
    <m/>
    <m/>
    <m/>
  </r>
  <r>
    <s v="NHC000352"/>
    <s v="R29"/>
    <s v="PPE"/>
    <x v="0"/>
    <s v="MOV"/>
    <x v="0"/>
    <s v="OTH"/>
    <x v="0"/>
    <s v="OTH"/>
    <s v="Other Assets"/>
    <s v="Main offices"/>
    <s v="Main offices"/>
    <s v="OTH"/>
    <s v="NHC Pot with Reeds"/>
    <s v="OTH"/>
    <m/>
    <s v="NHC Pot with Reeds"/>
    <s v="Cost Model"/>
    <s v="Owned"/>
    <s v="Core"/>
    <x v="0"/>
    <s v="Finance and Administration : Asset Management"/>
    <s v="FX005002001000000000000000000000000"/>
    <s v="IA002015001018001001000000000000000000"/>
    <n v="1"/>
    <s v="31/01/2008"/>
    <d v="2008-01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750"/>
    <m/>
    <n v="0"/>
    <n v="0"/>
    <n v="0"/>
    <n v="1750"/>
    <n v="97.222222222222172"/>
    <n v="0"/>
    <m/>
    <m/>
    <n v="-1652.7777777777778"/>
    <m/>
    <s v="NO"/>
    <m/>
    <m/>
    <n v="-97.222222222222172"/>
    <n v="-8.1018518518518476"/>
    <m/>
    <s v="Straight line"/>
    <n v="0"/>
    <n v="-1750"/>
    <m/>
    <m/>
    <m/>
    <m/>
    <n v="0"/>
    <n v="0"/>
    <m/>
    <m/>
    <m/>
    <s v="Purchased"/>
    <s v="Own funding"/>
    <m/>
    <s v="A. Mulaudzi"/>
    <m/>
    <m/>
    <m/>
    <m/>
    <m/>
  </r>
  <r>
    <s v="NHC000354"/>
    <s v="R13 CEO Office"/>
    <s v="PPE"/>
    <x v="0"/>
    <s v="MOV"/>
    <x v="0"/>
    <s v="OTH"/>
    <x v="0"/>
    <s v="OTH"/>
    <s v="Other Assets"/>
    <s v="Main offices"/>
    <s v="Main offices"/>
    <s v="OTH"/>
    <s v="Side Lamp Shade &amp; Stand"/>
    <s v="OTH"/>
    <m/>
    <s v="Side Lamp Shade &amp; Stand"/>
    <s v="Cost Model"/>
    <s v="Owned"/>
    <s v="Core"/>
    <x v="0"/>
    <s v="Finance and Administration : Asset Management"/>
    <s v="FX005002001000000000000000000000000"/>
    <s v="IA002015001018001001000000000000000000"/>
    <n v="1"/>
    <s v="31/01/2008"/>
    <d v="2008-01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550"/>
    <m/>
    <n v="0"/>
    <n v="0"/>
    <n v="0"/>
    <n v="550"/>
    <n v="30.555555555555543"/>
    <n v="0"/>
    <m/>
    <m/>
    <n v="-519.44444444444446"/>
    <m/>
    <s v="NO"/>
    <m/>
    <m/>
    <n v="-30.555555555555543"/>
    <n v="-2.5462962962962954"/>
    <m/>
    <s v="Straight line"/>
    <n v="0"/>
    <n v="-550"/>
    <m/>
    <m/>
    <m/>
    <m/>
    <n v="0"/>
    <n v="0"/>
    <m/>
    <m/>
    <m/>
    <s v="Purchased"/>
    <s v="Own funding"/>
    <m/>
    <s v="T. MANETSI"/>
    <m/>
    <m/>
    <m/>
    <m/>
    <m/>
  </r>
  <r>
    <s v="NHC000355"/>
    <s v="R1 Main Reception "/>
    <s v="PPE"/>
    <x v="0"/>
    <s v="MOV"/>
    <x v="0"/>
    <s v="OTH"/>
    <x v="0"/>
    <s v="OTH"/>
    <s v="Other Assets"/>
    <s v="Main offices"/>
    <s v="Main offices"/>
    <s v="OTH"/>
    <s v="Artwork"/>
    <s v="OTH"/>
    <m/>
    <s v="Artwork"/>
    <s v="Cost Model"/>
    <s v="Owned"/>
    <s v="Core"/>
    <x v="0"/>
    <s v="Finance and Administration : Asset Management"/>
    <s v="FX005002001000000000000000000000000"/>
    <s v="IA002015001018001001000000000000000000"/>
    <n v="1"/>
    <s v="31/01/2008"/>
    <d v="2008-01-31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4500"/>
    <m/>
    <n v="0"/>
    <n v="0"/>
    <n v="0"/>
    <n v="4500"/>
    <n v="250"/>
    <n v="0"/>
    <m/>
    <m/>
    <n v="-4250"/>
    <m/>
    <s v="NO"/>
    <m/>
    <m/>
    <n v="-250"/>
    <n v="-20.833333333333332"/>
    <m/>
    <s v="Straight line"/>
    <n v="0"/>
    <n v="-4500"/>
    <m/>
    <m/>
    <m/>
    <m/>
    <n v="0"/>
    <n v="0"/>
    <m/>
    <m/>
    <m/>
    <s v="Purchased"/>
    <s v="Own funding"/>
    <m/>
    <s v="M. Letsoale"/>
    <m/>
    <m/>
    <m/>
    <m/>
    <m/>
  </r>
  <r>
    <s v="NHC000357"/>
    <s v="R1 Main Reception "/>
    <s v="PPE"/>
    <x v="0"/>
    <s v="MOV"/>
    <x v="0"/>
    <s v="OTH"/>
    <x v="0"/>
    <s v="OTH"/>
    <s v="Other Assets"/>
    <s v="Main offices"/>
    <s v="Main offices"/>
    <s v="OTH"/>
    <s v="Artwork"/>
    <s v="OTH"/>
    <m/>
    <s v="Artwork"/>
    <s v="Cost Model"/>
    <s v="Owned"/>
    <s v="Core"/>
    <x v="0"/>
    <s v="Finance and Administration : Asset Management"/>
    <s v="FX005002001000000000000000000000000"/>
    <s v="IA002015001018001001000000000000000000"/>
    <n v="1"/>
    <s v="24/01/2008"/>
    <d v="2008-01-24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4500"/>
    <m/>
    <n v="0"/>
    <n v="0"/>
    <n v="0"/>
    <n v="4500"/>
    <n v="250"/>
    <n v="0"/>
    <m/>
    <m/>
    <n v="-4250"/>
    <m/>
    <s v="NO"/>
    <m/>
    <m/>
    <n v="-250"/>
    <n v="-20.833333333333332"/>
    <m/>
    <s v="Straight line"/>
    <n v="0"/>
    <n v="-4500"/>
    <m/>
    <m/>
    <m/>
    <m/>
    <n v="0"/>
    <n v="0"/>
    <m/>
    <m/>
    <m/>
    <s v="Purchased"/>
    <s v="Own funding"/>
    <m/>
    <s v="M. Letsoale"/>
    <m/>
    <m/>
    <m/>
    <m/>
    <m/>
  </r>
  <r>
    <s v="NHC000356"/>
    <s v="R1 Main Reception "/>
    <s v="PPE"/>
    <x v="0"/>
    <s v="MOV"/>
    <x v="0"/>
    <s v="OTH"/>
    <x v="0"/>
    <s v="OTH"/>
    <s v="Other Assets"/>
    <s v="Main offices"/>
    <s v="Main offices"/>
    <s v="OTH"/>
    <s v="Artwork"/>
    <s v="OTH"/>
    <m/>
    <s v="Artwork"/>
    <s v="Cost Model"/>
    <s v="Owned"/>
    <s v="Core"/>
    <x v="0"/>
    <s v="Finance and Administration : Asset Management"/>
    <s v="FX005002001000000000000000000000000"/>
    <s v="IA002015001018001001000000000000000000"/>
    <n v="1"/>
    <s v="31/01/2008"/>
    <d v="2008-01-31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4500"/>
    <m/>
    <n v="0"/>
    <n v="0"/>
    <n v="0"/>
    <n v="4500"/>
    <n v="250"/>
    <n v="0"/>
    <m/>
    <m/>
    <n v="-4250"/>
    <m/>
    <s v="NO"/>
    <m/>
    <m/>
    <n v="-250"/>
    <n v="-20.833333333333332"/>
    <m/>
    <s v="Straight line"/>
    <n v="0"/>
    <n v="-4500"/>
    <m/>
    <m/>
    <m/>
    <m/>
    <n v="0"/>
    <n v="0"/>
    <m/>
    <m/>
    <m/>
    <s v="Purchased"/>
    <s v="Own funding"/>
    <m/>
    <s v="M. Letsoale"/>
    <m/>
    <m/>
    <m/>
    <m/>
    <m/>
  </r>
  <r>
    <s v="NHC000358"/>
    <n v="0"/>
    <s v="PPE"/>
    <x v="0"/>
    <s v="MOV"/>
    <x v="0"/>
    <s v="OTH"/>
    <x v="0"/>
    <s v="OTH"/>
    <s v="Other Assets"/>
    <s v="Main offices"/>
    <s v="Main offices"/>
    <s v="OTH"/>
    <s v="Artwok"/>
    <s v="OTH"/>
    <m/>
    <s v="Artwok"/>
    <s v="Cost Model"/>
    <s v="Owned"/>
    <s v="Core"/>
    <x v="0"/>
    <s v="Finance and Administration : Asset Management"/>
    <s v="FX005002001000000000000000000000000"/>
    <s v="IA002015001018001001000000000000000000"/>
    <n v="1"/>
    <s v="31/01/2008"/>
    <d v="2008-01-31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4500"/>
    <m/>
    <n v="0"/>
    <n v="0"/>
    <n v="0"/>
    <n v="4500"/>
    <n v="250"/>
    <n v="0"/>
    <m/>
    <m/>
    <n v="-4250"/>
    <m/>
    <s v="NO"/>
    <m/>
    <m/>
    <n v="-250"/>
    <n v="-20.833333333333332"/>
    <m/>
    <s v="Straight line"/>
    <n v="0"/>
    <n v="-4500"/>
    <m/>
    <m/>
    <m/>
    <m/>
    <n v="0"/>
    <n v="0"/>
    <m/>
    <m/>
    <m/>
    <s v="Purchased"/>
    <s v="Own funding"/>
    <m/>
    <n v="0"/>
    <m/>
    <m/>
    <m/>
    <m/>
    <m/>
  </r>
  <r>
    <s v="NHC000375"/>
    <n v="0"/>
    <s v="PPE"/>
    <x v="0"/>
    <s v="MOV"/>
    <x v="0"/>
    <s v="OTH"/>
    <x v="0"/>
    <s v="OTH"/>
    <s v="Other Assets"/>
    <s v="Main offices"/>
    <s v="Main offices"/>
    <s v="OTH"/>
    <s v="Armchair"/>
    <s v="OTH"/>
    <m/>
    <s v="Armchair"/>
    <s v="Cost Model"/>
    <s v="Owned"/>
    <s v="Core"/>
    <x v="0"/>
    <s v="Finance and Administration : Asset Management"/>
    <s v="FX005002001000000000000000000000000"/>
    <s v="IA002015001018001001000000000000000000"/>
    <n v="1"/>
    <s v="25/02/2008"/>
    <d v="2008-02-25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450"/>
    <m/>
    <n v="0"/>
    <n v="0"/>
    <n v="0"/>
    <n v="450"/>
    <n v="25"/>
    <n v="0"/>
    <m/>
    <m/>
    <n v="-425"/>
    <m/>
    <s v="NO"/>
    <m/>
    <m/>
    <n v="-25"/>
    <n v="-2.0833333333333335"/>
    <m/>
    <s v="Straight line"/>
    <n v="0"/>
    <n v="-450"/>
    <m/>
    <m/>
    <m/>
    <m/>
    <n v="0"/>
    <n v="0"/>
    <m/>
    <m/>
    <m/>
    <s v="Purchased"/>
    <s v="Own funding"/>
    <m/>
    <n v="0"/>
    <m/>
    <m/>
    <m/>
    <m/>
    <m/>
  </r>
  <r>
    <s v="NHC000376"/>
    <s v="Open Plan HR"/>
    <s v="PPE"/>
    <x v="0"/>
    <s v="MOV"/>
    <x v="0"/>
    <s v="OTH"/>
    <x v="0"/>
    <s v="OTH"/>
    <s v="Other Assets"/>
    <s v="Main offices"/>
    <s v="Main offices"/>
    <s v="OTH"/>
    <s v="Armchair"/>
    <s v="OTH"/>
    <m/>
    <s v="Armchair"/>
    <s v="Cost Model"/>
    <s v="Owned"/>
    <s v="Core"/>
    <x v="0"/>
    <s v="Finance and Administration : Asset Management"/>
    <s v="FX005002001000000000000000000000000"/>
    <s v="IA002015001018001001000000000000000000"/>
    <n v="1"/>
    <s v="25/02/2008"/>
    <d v="2008-02-25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450"/>
    <m/>
    <n v="0"/>
    <n v="0"/>
    <n v="0"/>
    <n v="450"/>
    <n v="25"/>
    <n v="0"/>
    <m/>
    <m/>
    <n v="-425"/>
    <m/>
    <s v="NO"/>
    <m/>
    <m/>
    <n v="-25"/>
    <n v="-2.0833333333333335"/>
    <m/>
    <s v="Straight line"/>
    <n v="0"/>
    <n v="-450"/>
    <m/>
    <m/>
    <m/>
    <m/>
    <n v="0"/>
    <n v="0"/>
    <m/>
    <m/>
    <m/>
    <s v="Purchased"/>
    <s v="Own funding"/>
    <m/>
    <s v="M. Serebolo"/>
    <m/>
    <m/>
    <m/>
    <m/>
    <m/>
  </r>
  <r>
    <s v="NHC000378"/>
    <s v="R12 Executive Offices"/>
    <s v="PPE"/>
    <x v="0"/>
    <s v="MOV"/>
    <x v="0"/>
    <s v="OTH"/>
    <x v="0"/>
    <s v="OTH"/>
    <s v="Other Assets"/>
    <s v="Main offices"/>
    <s v="Main offices"/>
    <s v="OTH"/>
    <s v="Mirror"/>
    <s v="OTH"/>
    <m/>
    <s v="Mirror"/>
    <s v="Cost Model"/>
    <s v="Owned"/>
    <s v="Core"/>
    <x v="0"/>
    <s v="Finance and Administration : Asset Management"/>
    <s v="FX005002001000000000000000000000000"/>
    <s v="IA002015001018001001000000000000000000"/>
    <n v="1"/>
    <s v="25/02/2008"/>
    <d v="2008-02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850"/>
    <m/>
    <n v="0"/>
    <n v="0"/>
    <n v="0"/>
    <n v="850"/>
    <n v="47.222222222222172"/>
    <n v="0"/>
    <m/>
    <m/>
    <n v="-802.77777777777783"/>
    <m/>
    <s v="NO"/>
    <m/>
    <m/>
    <n v="-47.222222222222172"/>
    <n v="-3.9351851851851811"/>
    <m/>
    <s v="Straight line"/>
    <n v="0"/>
    <n v="-850"/>
    <m/>
    <m/>
    <m/>
    <m/>
    <n v="0"/>
    <n v="0"/>
    <m/>
    <m/>
    <m/>
    <s v="Purchased"/>
    <s v="Own funding"/>
    <m/>
    <s v="C. GALLOWAY"/>
    <m/>
    <m/>
    <m/>
    <m/>
    <m/>
  </r>
  <r>
    <s v="NHC000385"/>
    <s v="R16 "/>
    <s v="PPE"/>
    <x v="0"/>
    <s v="MOV"/>
    <x v="0"/>
    <s v="OTH"/>
    <x v="0"/>
    <s v="OTH"/>
    <s v="Other Assets"/>
    <s v="Main offices"/>
    <s v="Main offices"/>
    <s v="OTH"/>
    <s v="Desk"/>
    <s v="OTH"/>
    <m/>
    <s v="Desk"/>
    <s v="Cost Model"/>
    <s v="Owned"/>
    <s v="Core"/>
    <x v="0"/>
    <s v="Finance and Administration : Asset Management"/>
    <s v="FX005002001000000000000000000000000"/>
    <s v="IA002015001018001001000000000000000000"/>
    <n v="1"/>
    <s v="26/06/2007"/>
    <d v="2007-06-26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3967.64"/>
    <m/>
    <n v="0"/>
    <n v="0"/>
    <n v="0"/>
    <n v="3967.64"/>
    <n v="220.42444444444436"/>
    <n v="0"/>
    <m/>
    <m/>
    <n v="-3747.2155555555555"/>
    <m/>
    <s v="NO"/>
    <m/>
    <m/>
    <n v="-220.42444444444436"/>
    <n v="-18.368703703703698"/>
    <m/>
    <s v="Straight line"/>
    <n v="0"/>
    <n v="-3967.64"/>
    <m/>
    <m/>
    <m/>
    <m/>
    <n v="0"/>
    <n v="0"/>
    <m/>
    <m/>
    <m/>
    <s v="Purchased"/>
    <s v="Own funding"/>
    <m/>
    <s v="S. SKENJANA"/>
    <m/>
    <m/>
    <m/>
    <m/>
    <m/>
  </r>
  <r>
    <s v="NHC000391"/>
    <s v="Open plan co- business "/>
    <s v="PPE"/>
    <x v="0"/>
    <s v="MOV"/>
    <x v="0"/>
    <s v="OTH"/>
    <x v="0"/>
    <s v="OTH"/>
    <s v="Other Assets"/>
    <s v="Main offices"/>
    <s v="Main offices"/>
    <s v="OTH"/>
    <s v="Desk"/>
    <s v="OTH"/>
    <m/>
    <s v="Desk"/>
    <s v="Cost Model"/>
    <s v="Owned"/>
    <s v="Core"/>
    <x v="0"/>
    <s v="Finance and Administration : Asset Management"/>
    <s v="FX005002001000000000000000000000000"/>
    <s v="IA002015001018001001000000000000000000"/>
    <n v="1"/>
    <s v="26/06/2007"/>
    <d v="2007-06-2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967.64"/>
    <m/>
    <n v="0"/>
    <n v="0"/>
    <n v="0"/>
    <n v="3967.64"/>
    <n v="220.42444444444436"/>
    <n v="0"/>
    <m/>
    <m/>
    <n v="-3747.2155555555555"/>
    <m/>
    <s v="NO"/>
    <m/>
    <m/>
    <n v="-220.42444444444436"/>
    <n v="-18.368703703703698"/>
    <m/>
    <s v="Straight line"/>
    <n v="0"/>
    <n v="-3967.64"/>
    <m/>
    <m/>
    <m/>
    <m/>
    <n v="0"/>
    <n v="0"/>
    <m/>
    <m/>
    <m/>
    <s v="Purchased"/>
    <s v="Own funding"/>
    <m/>
    <s v="M. Phukubje"/>
    <m/>
    <m/>
    <m/>
    <m/>
    <m/>
  </r>
  <r>
    <s v="NHC000400"/>
    <s v="R12 Executive Offices"/>
    <s v="PPE"/>
    <x v="0"/>
    <s v="MOV"/>
    <x v="0"/>
    <s v="OTH"/>
    <x v="0"/>
    <s v="OTH"/>
    <s v="Other Assets"/>
    <s v="Main offices"/>
    <s v="Main offices"/>
    <s v="OTH"/>
    <s v="Traditional Desk"/>
    <s v="OTH"/>
    <m/>
    <s v="Traditional Desk"/>
    <s v="Cost Model"/>
    <s v="Owned"/>
    <s v="Core"/>
    <x v="0"/>
    <s v="Finance and Administration : Asset Management"/>
    <s v="FX005002001000000000000000000000000"/>
    <s v="IA002015001018001001000000000000000000"/>
    <n v="1"/>
    <s v="14/12/2007"/>
    <d v="2007-12-14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7968.77"/>
    <m/>
    <n v="0"/>
    <n v="0"/>
    <n v="0"/>
    <n v="17968.77"/>
    <n v="998.26499999999942"/>
    <n v="0"/>
    <m/>
    <m/>
    <n v="-16970.505000000001"/>
    <m/>
    <s v="NO"/>
    <m/>
    <m/>
    <n v="-998.26499999999942"/>
    <n v="-83.188749999999956"/>
    <m/>
    <s v="Straight line"/>
    <n v="0"/>
    <n v="-17968.77"/>
    <m/>
    <m/>
    <m/>
    <m/>
    <n v="0"/>
    <n v="0"/>
    <m/>
    <m/>
    <m/>
    <s v="Purchased"/>
    <s v="Own funding"/>
    <m/>
    <s v="C. GALLOWAY"/>
    <m/>
    <m/>
    <m/>
    <m/>
    <m/>
  </r>
  <r>
    <s v="NHC000407"/>
    <s v="R29"/>
    <s v="PPE"/>
    <x v="0"/>
    <s v="MOV"/>
    <x v="0"/>
    <s v="OTH"/>
    <x v="0"/>
    <s v="OTH"/>
    <s v="Other Assets"/>
    <s v="Main offices"/>
    <s v="Main offices"/>
    <s v="OTH"/>
    <s v="TV Cabinet"/>
    <s v="OTH"/>
    <m/>
    <s v="TV Cabinet"/>
    <s v="Cost Model"/>
    <s v="Owned"/>
    <s v="Core"/>
    <x v="0"/>
    <s v="Finance and Administration : Asset Management"/>
    <s v="FX005002001000000000000000000000000"/>
    <s v="IA002015001018001001000000000000000000"/>
    <n v="1"/>
    <s v="28/05/2008"/>
    <d v="2008-05-28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762"/>
    <m/>
    <n v="0"/>
    <n v="0"/>
    <n v="0"/>
    <n v="3762"/>
    <n v="209"/>
    <n v="0"/>
    <m/>
    <m/>
    <n v="-3553"/>
    <m/>
    <s v="NO"/>
    <m/>
    <m/>
    <n v="-209"/>
    <n v="-17.416666666666668"/>
    <m/>
    <s v="Straight line"/>
    <n v="0"/>
    <n v="-3762"/>
    <m/>
    <m/>
    <m/>
    <m/>
    <n v="0"/>
    <n v="0"/>
    <m/>
    <m/>
    <m/>
    <s v="Purchased"/>
    <s v="Own funding"/>
    <m/>
    <s v="A.MULAUDZI"/>
    <m/>
    <m/>
    <m/>
    <m/>
    <m/>
  </r>
  <r>
    <s v="NHC000429"/>
    <s v="R1 Main Reception "/>
    <s v="PPE"/>
    <x v="0"/>
    <s v="MOV"/>
    <x v="0"/>
    <s v="OTH"/>
    <x v="0"/>
    <s v="OTH"/>
    <s v="Other Assets"/>
    <s v="Main offices"/>
    <s v="Main offices"/>
    <s v="OTH"/>
    <s v="Tender Box"/>
    <s v="OTH"/>
    <m/>
    <s v="Tender Box"/>
    <s v="Cost Model"/>
    <s v="Owned"/>
    <s v="Core"/>
    <x v="0"/>
    <s v="Finance and Administration : Asset Management"/>
    <s v="FX005002001000000000000000000000000"/>
    <s v="IA002015001018001001000000000000000000"/>
    <n v="1"/>
    <s v="11/03/2009"/>
    <d v="2009-03-11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4446"/>
    <m/>
    <n v="0"/>
    <n v="0"/>
    <n v="0"/>
    <n v="4446"/>
    <n v="247"/>
    <n v="0"/>
    <m/>
    <m/>
    <n v="-4199"/>
    <m/>
    <s v="NO"/>
    <m/>
    <m/>
    <n v="-247"/>
    <n v="-20.583333333333332"/>
    <m/>
    <s v="Straight line"/>
    <n v="0"/>
    <n v="-4446"/>
    <m/>
    <m/>
    <m/>
    <m/>
    <n v="0"/>
    <n v="0"/>
    <m/>
    <m/>
    <m/>
    <s v="Purchased"/>
    <s v="Own funding"/>
    <m/>
    <s v="M. Letsoale"/>
    <m/>
    <m/>
    <m/>
    <m/>
    <m/>
  </r>
  <r>
    <s v="NHC000454"/>
    <s v="R28 "/>
    <s v="PPE"/>
    <x v="0"/>
    <s v="MOV"/>
    <x v="0"/>
    <s v="OTH"/>
    <x v="0"/>
    <s v="OTH"/>
    <s v="Other Assets"/>
    <s v="Main offices"/>
    <s v="Main offices"/>
    <s v="OTH"/>
    <s v="Conference Table"/>
    <s v="OTH"/>
    <m/>
    <s v="Conference Table"/>
    <s v="Cost Model"/>
    <s v="Owned"/>
    <s v="Core"/>
    <x v="0"/>
    <s v="Finance and Administration : Asset Management"/>
    <s v="FX005002001000000000000000000000000"/>
    <s v="IA002015001018001001000000000000000000"/>
    <n v="1"/>
    <s v="11/03/2009"/>
    <d v="2009-03-1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9866.2199999999993"/>
    <m/>
    <n v="0"/>
    <n v="0"/>
    <n v="0"/>
    <n v="9866.2199999999993"/>
    <n v="548.12333333333481"/>
    <n v="0"/>
    <m/>
    <m/>
    <n v="-9318.0966666666645"/>
    <m/>
    <s v="NO"/>
    <m/>
    <m/>
    <n v="-548.12333333333481"/>
    <n v="-45.676944444444565"/>
    <m/>
    <s v="Straight line"/>
    <n v="0"/>
    <n v="-9866.2199999999993"/>
    <m/>
    <m/>
    <m/>
    <m/>
    <n v="0"/>
    <n v="0"/>
    <m/>
    <m/>
    <m/>
    <s v="Purchased"/>
    <s v="Own funding"/>
    <m/>
    <s v="M. TAWANE"/>
    <m/>
    <m/>
    <m/>
    <m/>
    <m/>
  </r>
  <r>
    <s v="NHC000479"/>
    <s v="R4 Main Board room"/>
    <s v="PPE"/>
    <x v="0"/>
    <s v="MOV"/>
    <x v="0"/>
    <s v="OTH"/>
    <x v="0"/>
    <s v="OTH"/>
    <s v="Other Assets"/>
    <s v="Main offices"/>
    <s v="Main offices"/>
    <s v="OTH"/>
    <s v="Steel Key Cabinet"/>
    <s v="OTH"/>
    <m/>
    <s v="Steel Key Cabinet"/>
    <s v="Cost Model"/>
    <s v="Owned"/>
    <s v="Core"/>
    <x v="0"/>
    <s v="Finance and Administration : Asset Management"/>
    <s v="FX005002001000000000000000000000000"/>
    <s v="IA002015001018001001000000000000000000"/>
    <n v="1"/>
    <s v="11/03/2009"/>
    <d v="2009-03-1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615.6"/>
    <m/>
    <n v="0"/>
    <n v="0"/>
    <n v="0"/>
    <n v="615.6"/>
    <n v="34.199999999999932"/>
    <n v="0"/>
    <m/>
    <m/>
    <n v="-581.40000000000009"/>
    <m/>
    <s v="NO"/>
    <m/>
    <m/>
    <n v="-34.199999999999932"/>
    <n v="-2.8499999999999943"/>
    <m/>
    <s v="Straight line"/>
    <n v="0"/>
    <n v="-615.6"/>
    <m/>
    <m/>
    <m/>
    <m/>
    <n v="0"/>
    <n v="0"/>
    <m/>
    <m/>
    <m/>
    <s v="Purchased"/>
    <s v="Own funding"/>
    <m/>
    <s v="S.Skenjana"/>
    <m/>
    <m/>
    <m/>
    <m/>
    <m/>
  </r>
  <r>
    <s v="NHC000488"/>
    <s v="Open Plan finance"/>
    <s v="PPE"/>
    <x v="0"/>
    <s v="MOV"/>
    <x v="0"/>
    <s v="OTH"/>
    <x v="0"/>
    <s v="OTH"/>
    <s v="Other Assets"/>
    <s v="Main offices"/>
    <s v="Main offices"/>
    <s v="OTH"/>
    <s v="Filing System"/>
    <s v="OTH"/>
    <m/>
    <s v="Filing System"/>
    <s v="Cost Model"/>
    <s v="Owned"/>
    <s v="Core"/>
    <x v="0"/>
    <s v="Finance and Administration : Asset Management"/>
    <s v="FX005002001000000000000000000000000"/>
    <s v="IA002015001018001001000000000000000000"/>
    <n v="1"/>
    <s v="11/03/2009"/>
    <d v="2009-03-1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9722"/>
    <m/>
    <n v="0"/>
    <n v="0"/>
    <n v="0"/>
    <n v="19722"/>
    <n v="1095.6666666666642"/>
    <n v="0"/>
    <m/>
    <m/>
    <n v="-18626.333333333336"/>
    <m/>
    <s v="NO"/>
    <m/>
    <m/>
    <n v="-1095.6666666666642"/>
    <n v="-91.305555555555358"/>
    <m/>
    <s v="Straight line"/>
    <n v="0"/>
    <n v="-19722"/>
    <m/>
    <m/>
    <m/>
    <m/>
    <n v="0"/>
    <n v="0"/>
    <m/>
    <m/>
    <m/>
    <s v="Purchased"/>
    <s v="Own funding"/>
    <m/>
    <s v="S. Skenjana"/>
    <m/>
    <m/>
    <m/>
    <m/>
    <m/>
  </r>
  <r>
    <s v="NHC000489"/>
    <s v="R21 hr Storeroom "/>
    <s v="PPE"/>
    <x v="0"/>
    <s v="MOV"/>
    <x v="0"/>
    <s v="OTH"/>
    <x v="0"/>
    <s v="OTH"/>
    <s v="Other Assets"/>
    <s v="Main offices"/>
    <s v="Main offices"/>
    <s v="OTH"/>
    <s v="Filing System"/>
    <s v="OTH"/>
    <m/>
    <s v="Filing System"/>
    <s v="Cost Model"/>
    <s v="Owned"/>
    <s v="Core"/>
    <x v="0"/>
    <s v="Finance and Administration : Asset Management"/>
    <s v="FX005002001000000000000000000000000"/>
    <s v="IA002015001018001001000000000000000000"/>
    <n v="1"/>
    <s v="11/03/2009"/>
    <d v="2009-03-1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5665.88"/>
    <m/>
    <n v="0"/>
    <n v="0"/>
    <n v="0"/>
    <n v="25665.88"/>
    <n v="1425.8822222222225"/>
    <n v="0"/>
    <m/>
    <m/>
    <n v="-24239.997777777779"/>
    <m/>
    <s v="NO"/>
    <m/>
    <m/>
    <n v="-1425.8822222222225"/>
    <n v="-118.82351851851854"/>
    <m/>
    <s v="Straight line"/>
    <n v="0"/>
    <n v="-25665.88"/>
    <m/>
    <m/>
    <m/>
    <m/>
    <n v="0"/>
    <n v="0"/>
    <m/>
    <m/>
    <m/>
    <s v="Purchased"/>
    <s v="Own funding"/>
    <m/>
    <s v="A. Noge"/>
    <m/>
    <m/>
    <m/>
    <m/>
    <m/>
  </r>
  <r>
    <s v="NHC00399"/>
    <s v="Open plan co- business "/>
    <s v="PPE"/>
    <x v="0"/>
    <s v="MOV"/>
    <x v="0"/>
    <s v="OTH"/>
    <x v="0"/>
    <s v="OTH"/>
    <s v="Other Assets"/>
    <s v="Main offices"/>
    <s v="Main offices"/>
    <s v="OTH"/>
    <s v="Tradional Desk"/>
    <s v="OTH"/>
    <m/>
    <s v="Tradional Desk"/>
    <s v="Cost Model"/>
    <s v="Owned"/>
    <s v="Core"/>
    <x v="0"/>
    <s v="Finance and Administration : Asset Management"/>
    <s v="FX005002001000000000000000000000000"/>
    <s v="IA002015001018001001000000000000000000"/>
    <n v="1"/>
    <s v="14/12/2007"/>
    <d v="2007-12-14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7968.77"/>
    <m/>
    <n v="0"/>
    <n v="0"/>
    <n v="0"/>
    <n v="17968.77"/>
    <n v="998.26499999999942"/>
    <n v="0"/>
    <m/>
    <m/>
    <n v="-16970.505000000001"/>
    <m/>
    <s v="NO"/>
    <m/>
    <m/>
    <n v="-998.26499999999942"/>
    <n v="-83.188749999999956"/>
    <m/>
    <s v="Straight line"/>
    <n v="0"/>
    <n v="-17968.77"/>
    <m/>
    <m/>
    <m/>
    <m/>
    <n v="0"/>
    <n v="0"/>
    <m/>
    <m/>
    <m/>
    <s v="Purchased"/>
    <s v="Own funding"/>
    <m/>
    <s v="T.Molema"/>
    <m/>
    <m/>
    <m/>
    <m/>
    <m/>
  </r>
  <r>
    <s v="NHC000523"/>
    <s v="R28 "/>
    <s v="PPE"/>
    <x v="0"/>
    <s v="MOV"/>
    <x v="0"/>
    <s v="OTH"/>
    <x v="0"/>
    <s v="OTH"/>
    <s v="Other Assets"/>
    <s v="Main offices"/>
    <s v="Main offices"/>
    <s v="OTH"/>
    <s v="L Shape Combination Desk"/>
    <s v="OTH"/>
    <m/>
    <s v="L Shape Combination Desk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2510.4"/>
    <m/>
    <n v="0"/>
    <n v="0"/>
    <n v="0"/>
    <n v="12510.4"/>
    <n v="695.02222222222372"/>
    <n v="0"/>
    <m/>
    <m/>
    <n v="-11815.377777777776"/>
    <m/>
    <s v="NO"/>
    <m/>
    <m/>
    <n v="-695.02222222222372"/>
    <n v="-57.918518518518646"/>
    <m/>
    <s v="Straight line"/>
    <n v="0"/>
    <n v="-12510.4"/>
    <m/>
    <m/>
    <m/>
    <m/>
    <n v="0"/>
    <n v="0"/>
    <m/>
    <m/>
    <m/>
    <s v="Purchased"/>
    <s v="Own funding"/>
    <m/>
    <s v="M. TAWANE"/>
    <m/>
    <m/>
    <m/>
    <m/>
    <m/>
  </r>
  <r>
    <s v="NHC000521"/>
    <s v="Open Plan Co business "/>
    <s v="PPE"/>
    <x v="0"/>
    <s v="MOV"/>
    <x v="0"/>
    <s v="OTH"/>
    <x v="0"/>
    <s v="OTH"/>
    <s v="Other Assets"/>
    <s v="Main offices"/>
    <s v="Main offices"/>
    <s v="OTH"/>
    <s v="Hinged Door Cabinet"/>
    <s v="OTH"/>
    <m/>
    <s v="Hinged Door Cabinet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7011"/>
    <m/>
    <n v="0"/>
    <n v="0"/>
    <n v="0"/>
    <n v="7011"/>
    <n v="389.5"/>
    <n v="0"/>
    <m/>
    <m/>
    <n v="-6621.5"/>
    <m/>
    <s v="NO"/>
    <m/>
    <m/>
    <n v="-389.5"/>
    <n v="-32.458333333333336"/>
    <m/>
    <s v="Straight line"/>
    <n v="0"/>
    <n v="-7011"/>
    <m/>
    <m/>
    <m/>
    <m/>
    <n v="0"/>
    <n v="0"/>
    <m/>
    <m/>
    <m/>
    <s v="Purchased"/>
    <s v="Own funding"/>
    <m/>
    <s v="R. Mandiwana"/>
    <m/>
    <m/>
    <m/>
    <m/>
    <m/>
  </r>
  <r>
    <s v="NHC000520"/>
    <s v="R2 Open plan finance "/>
    <s v="PPE"/>
    <x v="0"/>
    <s v="MOV"/>
    <x v="0"/>
    <s v="OTH"/>
    <x v="0"/>
    <s v="OTH"/>
    <s v="Other Assets"/>
    <s v="Main offices"/>
    <s v="Main offices"/>
    <s v="OTH"/>
    <s v="Glass Door Cabinet"/>
    <s v="OTH"/>
    <m/>
    <s v="Glass Door Cabinet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8892"/>
    <m/>
    <n v="0"/>
    <n v="0"/>
    <n v="0"/>
    <n v="8892"/>
    <n v="494"/>
    <n v="0"/>
    <m/>
    <m/>
    <n v="-8398"/>
    <m/>
    <s v="NO"/>
    <m/>
    <m/>
    <n v="-494"/>
    <n v="-41.166666666666664"/>
    <m/>
    <s v="Straight line"/>
    <n v="0"/>
    <n v="-8892"/>
    <m/>
    <m/>
    <m/>
    <m/>
    <n v="0"/>
    <n v="0"/>
    <m/>
    <m/>
    <m/>
    <s v="Purchased"/>
    <s v="Own funding"/>
    <m/>
    <s v="N. Gawula"/>
    <m/>
    <m/>
    <m/>
    <m/>
    <m/>
  </r>
  <r>
    <s v="NHC000524"/>
    <n v="0"/>
    <s v="PPE"/>
    <x v="0"/>
    <s v="MOV"/>
    <x v="0"/>
    <s v="OTH"/>
    <x v="0"/>
    <s v="OTH"/>
    <s v="Other Assets"/>
    <s v="Main offices"/>
    <s v="Main offices"/>
    <s v="OTH"/>
    <s v="Antique Freestanding L-Ext-No Inlay"/>
    <s v="OTH"/>
    <m/>
    <s v="Antique Freestanding L-Ext-No Inlay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7660.8"/>
    <m/>
    <n v="0"/>
    <n v="0"/>
    <n v="0"/>
    <n v="7660.8"/>
    <n v="425.59999999999945"/>
    <n v="0"/>
    <m/>
    <m/>
    <n v="-7235.2000000000007"/>
    <m/>
    <s v="NO"/>
    <m/>
    <m/>
    <n v="-425.59999999999945"/>
    <n v="-35.466666666666619"/>
    <m/>
    <s v="Straight line"/>
    <n v="0"/>
    <n v="-7660.8"/>
    <m/>
    <m/>
    <m/>
    <m/>
    <n v="0"/>
    <n v="0"/>
    <m/>
    <m/>
    <m/>
    <s v="Purchased"/>
    <s v="Own funding"/>
    <m/>
    <n v="0"/>
    <m/>
    <m/>
    <m/>
    <m/>
    <m/>
  </r>
  <r>
    <s v="NHC000512"/>
    <s v="R27"/>
    <s v="PPE"/>
    <x v="0"/>
    <s v="MOV"/>
    <x v="0"/>
    <s v="OTH"/>
    <x v="0"/>
    <s v="OTH"/>
    <s v="Other Assets"/>
    <s v="Main offices"/>
    <s v="Main offices"/>
    <s v="OTH"/>
    <s v="Single Pedestal Desk 1600 x 800"/>
    <s v="OTH"/>
    <m/>
    <s v="Single Pedestal Desk 1600 x 800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8550"/>
    <m/>
    <n v="0"/>
    <n v="0"/>
    <n v="0"/>
    <n v="8550"/>
    <n v="475"/>
    <n v="0"/>
    <m/>
    <m/>
    <n v="-8075"/>
    <m/>
    <s v="NO"/>
    <m/>
    <m/>
    <n v="-475"/>
    <n v="-39.583333333333336"/>
    <m/>
    <s v="Straight line"/>
    <n v="0"/>
    <n v="-8550"/>
    <m/>
    <m/>
    <m/>
    <m/>
    <n v="0"/>
    <n v="0"/>
    <m/>
    <m/>
    <m/>
    <s v="Purchased"/>
    <s v="Own funding"/>
    <m/>
    <s v="B. Maqasela"/>
    <m/>
    <m/>
    <m/>
    <m/>
    <m/>
  </r>
  <r>
    <s v="NHC000516"/>
    <s v="Open plan co- business "/>
    <s v="PPE"/>
    <x v="0"/>
    <s v="MOV"/>
    <x v="0"/>
    <s v="OTH"/>
    <x v="0"/>
    <s v="OTH"/>
    <s v="Other Assets"/>
    <s v="Main offices"/>
    <s v="Main offices"/>
    <s v="OTH"/>
    <s v="Hinged Door Cabinet"/>
    <s v="OTH"/>
    <m/>
    <s v="Hinged Door Cabinet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7011"/>
    <m/>
    <n v="0"/>
    <n v="0"/>
    <n v="0"/>
    <n v="7011"/>
    <n v="389.5"/>
    <n v="0"/>
    <m/>
    <m/>
    <n v="-6621.5"/>
    <m/>
    <s v="NO"/>
    <m/>
    <m/>
    <n v="-389.5"/>
    <n v="-32.458333333333336"/>
    <m/>
    <s v="Straight line"/>
    <n v="0"/>
    <n v="-7011"/>
    <m/>
    <m/>
    <m/>
    <m/>
    <n v="0"/>
    <n v="0"/>
    <m/>
    <m/>
    <m/>
    <s v="Purchased"/>
    <s v="Own funding"/>
    <m/>
    <s v="M. Phukubje"/>
    <m/>
    <m/>
    <m/>
    <m/>
    <m/>
  </r>
  <r>
    <s v="NHC000515"/>
    <s v="Passage executive offices"/>
    <s v="PPE"/>
    <x v="0"/>
    <s v="MOV"/>
    <x v="0"/>
    <s v="OTH"/>
    <x v="0"/>
    <s v="OTH"/>
    <s v="Other Assets"/>
    <s v="Main offices"/>
    <s v="Main offices"/>
    <s v="OTH"/>
    <s v="Single Pedestal Desk 1600 x 800"/>
    <s v="OTH"/>
    <m/>
    <s v="Single Pedestal Desk 1600 x 800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8550"/>
    <m/>
    <n v="0"/>
    <n v="0"/>
    <n v="0"/>
    <n v="8550"/>
    <n v="475"/>
    <n v="0"/>
    <m/>
    <m/>
    <n v="-8075"/>
    <m/>
    <s v="NO"/>
    <m/>
    <m/>
    <n v="-475"/>
    <n v="-39.583333333333336"/>
    <m/>
    <s v="Straight line"/>
    <n v="0"/>
    <n v="-8550"/>
    <m/>
    <m/>
    <m/>
    <m/>
    <n v="0"/>
    <n v="0"/>
    <m/>
    <m/>
    <m/>
    <s v="Purchased"/>
    <s v="Own funding"/>
    <m/>
    <s v="S. Skenjana"/>
    <m/>
    <m/>
    <m/>
    <m/>
    <m/>
  </r>
  <r>
    <s v="NHC000514"/>
    <s v="R11 executive board room"/>
    <s v="PPE"/>
    <x v="0"/>
    <s v="MOV"/>
    <x v="0"/>
    <s v="OTH"/>
    <x v="0"/>
    <s v="OTH"/>
    <s v="Other Assets"/>
    <s v="Main offices"/>
    <s v="Main offices"/>
    <s v="OTH"/>
    <s v="Hinged Door Cabinet"/>
    <s v="OTH"/>
    <m/>
    <s v="Hinged Door Cabinet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7011"/>
    <m/>
    <n v="0"/>
    <n v="0"/>
    <n v="0"/>
    <n v="7011"/>
    <n v="389.5"/>
    <n v="0"/>
    <m/>
    <m/>
    <n v="-6621.5"/>
    <m/>
    <s v="NO"/>
    <m/>
    <m/>
    <n v="-389.5"/>
    <n v="-32.458333333333336"/>
    <m/>
    <s v="Straight line"/>
    <n v="0"/>
    <n v="-7011"/>
    <m/>
    <m/>
    <m/>
    <m/>
    <n v="0"/>
    <n v="0"/>
    <m/>
    <m/>
    <m/>
    <s v="Purchased"/>
    <s v="Own funding"/>
    <m/>
    <s v="S. Skenjana "/>
    <m/>
    <m/>
    <m/>
    <m/>
    <m/>
  </r>
  <r>
    <s v="NHC000508"/>
    <s v="Open Plan Finance "/>
    <s v="PPE"/>
    <x v="0"/>
    <s v="MOV"/>
    <x v="0"/>
    <s v="OTH"/>
    <x v="0"/>
    <s v="OTH"/>
    <s v="Other Assets"/>
    <s v="Main offices"/>
    <s v="Main offices"/>
    <s v="OTH"/>
    <s v="2700x1200 Boardroom Table"/>
    <s v="OTH"/>
    <m/>
    <s v="2700x1200 Boardroom Table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14956.8"/>
    <m/>
    <n v="0"/>
    <n v="0"/>
    <n v="0"/>
    <n v="14956.8"/>
    <n v="830.9333333333343"/>
    <n v="0"/>
    <m/>
    <m/>
    <n v="-14125.866666666665"/>
    <m/>
    <s v="NO"/>
    <m/>
    <m/>
    <n v="-830.9333333333343"/>
    <n v="-69.244444444444525"/>
    <m/>
    <s v="Straight line"/>
    <n v="0"/>
    <n v="-14956.8"/>
    <m/>
    <m/>
    <m/>
    <m/>
    <n v="0"/>
    <n v="0"/>
    <m/>
    <m/>
    <m/>
    <s v="Purchased"/>
    <s v="Own funding"/>
    <m/>
    <s v="S. Skenjana"/>
    <m/>
    <m/>
    <m/>
    <m/>
    <m/>
  </r>
  <r>
    <s v="NHC000501"/>
    <s v="Open plan co-business "/>
    <s v="PPE"/>
    <x v="0"/>
    <s v="MOV"/>
    <x v="0"/>
    <s v="OTH"/>
    <x v="0"/>
    <s v="OTH"/>
    <s v="Other Assets"/>
    <s v="Main offices"/>
    <s v="Main offices"/>
    <s v="OTH"/>
    <s v="Hinged Door Cabinet"/>
    <s v="OTH"/>
    <m/>
    <s v="Hinged Door Cabinet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505.5"/>
    <m/>
    <n v="0"/>
    <n v="0"/>
    <n v="0"/>
    <n v="3505.5"/>
    <n v="194.75"/>
    <n v="0"/>
    <m/>
    <m/>
    <n v="-3310.75"/>
    <m/>
    <s v="NO"/>
    <m/>
    <m/>
    <n v="-194.75"/>
    <n v="-16.229166666666668"/>
    <m/>
    <s v="Straight line"/>
    <n v="0"/>
    <n v="-3505.5"/>
    <m/>
    <m/>
    <m/>
    <m/>
    <n v="0"/>
    <n v="0"/>
    <m/>
    <m/>
    <m/>
    <s v="Purchased"/>
    <s v="Own funding"/>
    <m/>
    <s v="K.Mpumlwana"/>
    <m/>
    <m/>
    <m/>
    <m/>
    <m/>
  </r>
  <r>
    <s v="NHC000388"/>
    <s v="R27 Core business"/>
    <s v="PPE"/>
    <x v="0"/>
    <s v="MOV"/>
    <x v="0"/>
    <s v="OTH"/>
    <x v="0"/>
    <s v="OTH"/>
    <s v="Other Assets"/>
    <s v="Main offices"/>
    <s v="Main offices"/>
    <s v="OTH"/>
    <s v="Chair"/>
    <s v="OTH"/>
    <m/>
    <s v="Chair"/>
    <s v="Cost Model"/>
    <s v="Owned"/>
    <s v="Core"/>
    <x v="0"/>
    <s v="Finance and Administration : Asset Management"/>
    <s v="FX005002001000000000000000000000000"/>
    <s v="IA002015001018001001000000000000000000"/>
    <n v="1"/>
    <s v="26/06/2007"/>
    <d v="2007-06-26T00:00:00"/>
    <s v="NO"/>
    <s v="Yes"/>
    <d v="2022-03-31T00:00:00"/>
    <s v="NA - Actual Cost"/>
    <n v="6"/>
    <n v="0"/>
    <n v="0"/>
    <s v="No Change"/>
    <m/>
    <m/>
    <n v="1"/>
    <m/>
    <n v="1"/>
    <n v="0"/>
    <s v="4 - Poor (11-25%)"/>
    <m/>
    <s v="Actual Cost"/>
    <n v="3967.63"/>
    <m/>
    <n v="0"/>
    <n v="0"/>
    <n v="0"/>
    <n v="3967.63"/>
    <n v="220.42388888888854"/>
    <n v="0"/>
    <m/>
    <m/>
    <n v="-3747.2061111111116"/>
    <m/>
    <s v="NO"/>
    <m/>
    <m/>
    <n v="-220.42388888888854"/>
    <n v="-18.36865740740738"/>
    <m/>
    <s v="Straight line"/>
    <n v="0"/>
    <n v="-3967.63"/>
    <m/>
    <m/>
    <m/>
    <m/>
    <n v="0"/>
    <n v="0"/>
    <m/>
    <m/>
    <m/>
    <s v="Purchased"/>
    <s v="Own funding"/>
    <m/>
    <s v="B. Magasela"/>
    <m/>
    <m/>
    <m/>
    <m/>
    <m/>
  </r>
  <r>
    <s v="NHC000387"/>
    <s v="Open plan co-Business"/>
    <s v="PPE"/>
    <x v="0"/>
    <s v="MOV"/>
    <x v="0"/>
    <s v="OTH"/>
    <x v="0"/>
    <s v="OTH"/>
    <s v="Other Assets"/>
    <s v="Main offices"/>
    <s v="Main offices"/>
    <s v="OTH"/>
    <s v="Desk"/>
    <s v="OTH"/>
    <m/>
    <s v="Desk"/>
    <s v="Cost Model"/>
    <s v="Owned"/>
    <s v="Core"/>
    <x v="0"/>
    <s v="Finance and Administration : Asset Management"/>
    <s v="FX005002001000000000000000000000000"/>
    <s v="IA002015001018001001000000000000000000"/>
    <n v="1"/>
    <s v="26/06/2007"/>
    <d v="2007-06-2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967.64"/>
    <m/>
    <n v="0"/>
    <n v="0"/>
    <n v="0"/>
    <n v="3967.64"/>
    <n v="220.42444444444436"/>
    <n v="0"/>
    <m/>
    <m/>
    <n v="-3747.2155555555555"/>
    <m/>
    <s v="NO"/>
    <m/>
    <m/>
    <n v="-220.42444444444436"/>
    <n v="-18.368703703703698"/>
    <m/>
    <s v="Straight line"/>
    <n v="0"/>
    <n v="-3967.64"/>
    <m/>
    <m/>
    <m/>
    <m/>
    <n v="0"/>
    <n v="0"/>
    <m/>
    <m/>
    <m/>
    <s v="Purchased"/>
    <s v="Own funding"/>
    <m/>
    <s v="G. Mdluli"/>
    <m/>
    <m/>
    <m/>
    <m/>
    <m/>
  </r>
  <r>
    <s v="NHC000389"/>
    <s v="Open plan Risk"/>
    <s v="PPE"/>
    <x v="0"/>
    <s v="MOV"/>
    <x v="0"/>
    <s v="OTH"/>
    <x v="0"/>
    <s v="OTH"/>
    <s v="Other Assets"/>
    <s v="Main offices"/>
    <s v="Main offices"/>
    <s v="OTH"/>
    <s v="Desk"/>
    <s v="OTH"/>
    <m/>
    <s v="Desk"/>
    <s v="Cost Model"/>
    <s v="Owned"/>
    <s v="Core"/>
    <x v="0"/>
    <s v="Finance and Administration : Asset Management"/>
    <s v="FX005002001000000000000000000000000"/>
    <s v="IA002015001018001001000000000000000000"/>
    <n v="1"/>
    <s v="26/06/2007"/>
    <d v="2007-06-2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967.64"/>
    <m/>
    <n v="0"/>
    <n v="0"/>
    <n v="0"/>
    <n v="3967.64"/>
    <n v="220.42444444444436"/>
    <n v="0"/>
    <m/>
    <m/>
    <n v="-3747.2155555555555"/>
    <m/>
    <s v="NO"/>
    <m/>
    <m/>
    <n v="-220.42444444444436"/>
    <n v="-18.368703703703698"/>
    <m/>
    <s v="Straight line"/>
    <n v="0"/>
    <n v="-3967.64"/>
    <m/>
    <m/>
    <m/>
    <m/>
    <n v="0"/>
    <n v="0"/>
    <m/>
    <m/>
    <m/>
    <s v="Purchased"/>
    <s v="Own funding"/>
    <m/>
    <s v="Z. Sithole"/>
    <m/>
    <m/>
    <m/>
    <m/>
    <m/>
  </r>
  <r>
    <s v="NHC000393"/>
    <s v="Open Plan Risk"/>
    <s v="PPE"/>
    <x v="0"/>
    <s v="MOV"/>
    <x v="0"/>
    <s v="OTH"/>
    <x v="0"/>
    <s v="OTH"/>
    <s v="Other Assets"/>
    <s v="Main offices"/>
    <s v="Main offices"/>
    <s v="OTH"/>
    <s v="Desk"/>
    <s v="OTH"/>
    <m/>
    <s v="Desk"/>
    <s v="Cost Model"/>
    <s v="Owned"/>
    <s v="Core"/>
    <x v="0"/>
    <s v="Finance and Administration : Asset Management"/>
    <s v="FX005002001000000000000000000000000"/>
    <s v="IA002015001018001001000000000000000000"/>
    <n v="1"/>
    <s v="26/06/2007"/>
    <d v="2007-06-2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967.64"/>
    <m/>
    <n v="0"/>
    <n v="0"/>
    <n v="0"/>
    <n v="3967.64"/>
    <n v="220.42444444444436"/>
    <n v="0"/>
    <m/>
    <m/>
    <n v="-3747.2155555555555"/>
    <m/>
    <s v="NO"/>
    <m/>
    <m/>
    <n v="-220.42444444444436"/>
    <n v="-18.368703703703698"/>
    <m/>
    <s v="Straight line"/>
    <n v="0"/>
    <n v="-3967.64"/>
    <m/>
    <m/>
    <m/>
    <m/>
    <n v="0"/>
    <n v="0"/>
    <m/>
    <m/>
    <m/>
    <s v="Purchased"/>
    <s v="Own funding"/>
    <m/>
    <s v="M. Ngwaila"/>
    <m/>
    <m/>
    <m/>
    <m/>
    <m/>
  </r>
  <r>
    <s v="NHC000397"/>
    <s v="Open Plan communications "/>
    <s v="PPE"/>
    <x v="0"/>
    <s v="MOV"/>
    <x v="0"/>
    <s v="OTH"/>
    <x v="0"/>
    <s v="OTH"/>
    <s v="Other Assets"/>
    <s v="Main offices"/>
    <s v="Main offices"/>
    <s v="OTH"/>
    <s v="Desk"/>
    <s v="OTH"/>
    <m/>
    <s v="Desk"/>
    <s v="Cost Model"/>
    <s v="Owned"/>
    <s v="Core"/>
    <x v="0"/>
    <s v="Finance and Administration : Asset Management"/>
    <s v="FX005002001000000000000000000000000"/>
    <s v="IA002015001018001001000000000000000000"/>
    <n v="1"/>
    <s v="26/06/2007"/>
    <d v="2007-06-2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967.64"/>
    <m/>
    <n v="0"/>
    <n v="0"/>
    <n v="0"/>
    <n v="3967.64"/>
    <n v="220.42444444444436"/>
    <n v="0"/>
    <m/>
    <m/>
    <n v="-3747.2155555555555"/>
    <m/>
    <s v="NO"/>
    <m/>
    <m/>
    <n v="-220.42444444444436"/>
    <n v="-18.368703703703698"/>
    <m/>
    <s v="Straight line"/>
    <n v="0"/>
    <n v="-3967.64"/>
    <m/>
    <m/>
    <m/>
    <m/>
    <n v="0"/>
    <n v="0"/>
    <m/>
    <m/>
    <m/>
    <s v="Purchased"/>
    <s v="Own funding"/>
    <m/>
    <s v="S. Makhura"/>
    <m/>
    <m/>
    <m/>
    <m/>
    <m/>
  </r>
  <r>
    <s v="NHC000386"/>
    <s v="R1 Open plan finance "/>
    <s v="PPE"/>
    <x v="0"/>
    <s v="MOV"/>
    <x v="0"/>
    <s v="OTH"/>
    <x v="0"/>
    <s v="OTH"/>
    <s v="Other Assets"/>
    <s v="Main offices"/>
    <s v="Main offices"/>
    <s v="OTH"/>
    <s v="Chair"/>
    <s v="OTH"/>
    <m/>
    <s v="Chair"/>
    <s v="Cost Model"/>
    <s v="Owned"/>
    <s v="Core"/>
    <x v="0"/>
    <s v="Finance and Administration : Asset Management"/>
    <s v="FX005002001000000000000000000000000"/>
    <s v="IA002015001018001001000000000000000000"/>
    <n v="1"/>
    <s v="26/06/2007"/>
    <d v="2007-06-2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967.63"/>
    <m/>
    <n v="0"/>
    <n v="0"/>
    <n v="0"/>
    <n v="3967.63"/>
    <n v="220.42388888888854"/>
    <n v="0"/>
    <m/>
    <m/>
    <n v="-3747.2061111111116"/>
    <m/>
    <s v="NO"/>
    <m/>
    <m/>
    <n v="-220.42388888888854"/>
    <n v="-18.36865740740738"/>
    <m/>
    <s v="Straight line"/>
    <n v="0"/>
    <n v="-3967.63"/>
    <m/>
    <m/>
    <m/>
    <m/>
    <n v="0"/>
    <n v="0"/>
    <m/>
    <m/>
    <m/>
    <s v="Purchased"/>
    <s v="Own funding"/>
    <m/>
    <s v="B.L Mthombeni"/>
    <m/>
    <m/>
    <m/>
    <m/>
    <m/>
  </r>
  <r>
    <s v="NHC 000419"/>
    <s v="R13 CEO Offce"/>
    <s v="PPE"/>
    <x v="0"/>
    <s v="MOV"/>
    <x v="0"/>
    <s v="OTH"/>
    <x v="0"/>
    <s v="OTH"/>
    <s v="Other Assets"/>
    <s v="Main offices"/>
    <s v="Main offices"/>
    <s v="OTH"/>
    <s v="Vase with Silk Flower Arrangement"/>
    <s v="OTH"/>
    <m/>
    <s v="Vase with Silk Flower Arrangement"/>
    <s v="Cost Model"/>
    <s v="Owned"/>
    <s v="Core"/>
    <x v="0"/>
    <s v="Finance and Administration : Asset Management"/>
    <s v="FX005002001000000000000000000000000"/>
    <s v="IA002015001018001001000000000000000000"/>
    <n v="1"/>
    <s v="10/08/2007"/>
    <d v="2007-08-10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810.18"/>
    <m/>
    <n v="0"/>
    <n v="0"/>
    <n v="0"/>
    <n v="810.18"/>
    <n v="45.009999999999991"/>
    <n v="0"/>
    <m/>
    <m/>
    <n v="-765.17"/>
    <m/>
    <s v="NO"/>
    <m/>
    <m/>
    <n v="-45.009999999999991"/>
    <n v="-3.7508333333333326"/>
    <m/>
    <s v="Straight line"/>
    <n v="0"/>
    <n v="-810.18"/>
    <m/>
    <m/>
    <m/>
    <m/>
    <n v="0"/>
    <n v="0"/>
    <m/>
    <m/>
    <m/>
    <s v="Purchased"/>
    <s v="Own funding"/>
    <m/>
    <s v="T. Manetsi"/>
    <m/>
    <m/>
    <m/>
    <m/>
    <m/>
  </r>
  <r>
    <s v="NHC 000182"/>
    <s v="R29"/>
    <s v="PPE"/>
    <x v="0"/>
    <s v="MOV"/>
    <x v="0"/>
    <s v="OTH"/>
    <x v="0"/>
    <s v="OTH"/>
    <s v="Other Assets"/>
    <s v="Main offices"/>
    <s v="Main offices"/>
    <s v="OTH"/>
    <s v="Cupboard"/>
    <s v="OTH"/>
    <m/>
    <s v="Cupboard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5198.3999999999996"/>
    <m/>
    <n v="0"/>
    <n v="0"/>
    <n v="0"/>
    <n v="5198.3999999999996"/>
    <n v="288.79999999999927"/>
    <n v="0"/>
    <m/>
    <m/>
    <n v="-4909.6000000000004"/>
    <m/>
    <s v="NO"/>
    <m/>
    <m/>
    <n v="-288.79999999999927"/>
    <n v="-24.066666666666606"/>
    <m/>
    <s v="Straight line"/>
    <n v="0"/>
    <n v="-5198.3999999999996"/>
    <m/>
    <m/>
    <m/>
    <m/>
    <n v="0"/>
    <n v="0"/>
    <m/>
    <m/>
    <m/>
    <s v="Purchased"/>
    <s v="Own funding"/>
    <m/>
    <s v="A.MULAUDZI"/>
    <m/>
    <m/>
    <m/>
    <m/>
    <m/>
  </r>
  <r>
    <s v="NHC 000518"/>
    <s v="Open Plan Risk"/>
    <s v="PPE"/>
    <x v="0"/>
    <s v="MOV"/>
    <x v="0"/>
    <s v="OTH"/>
    <x v="0"/>
    <s v="OTH"/>
    <s v="Other Assets"/>
    <s v="Main offices"/>
    <s v="Main offices"/>
    <s v="OTH"/>
    <s v="Desk"/>
    <s v="OTH"/>
    <m/>
    <s v="Desk"/>
    <s v="Cost Model"/>
    <s v="Owned"/>
    <s v="Core"/>
    <x v="0"/>
    <s v="Finance and Administration : Asset Management"/>
    <s v="FX005002001000000000000000000000000"/>
    <s v="IA002015001018001001000000000000000000"/>
    <n v="1"/>
    <s v="21/04/2004"/>
    <d v="2004-04-21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2850"/>
    <m/>
    <n v="0"/>
    <n v="0"/>
    <n v="0"/>
    <n v="2850"/>
    <n v="158.33333333333303"/>
    <n v="0"/>
    <m/>
    <m/>
    <n v="-2691.666666666667"/>
    <m/>
    <s v="NO"/>
    <m/>
    <m/>
    <n v="-158.33333333333303"/>
    <n v="-13.19444444444442"/>
    <m/>
    <s v="Straight line"/>
    <n v="0"/>
    <n v="-2850"/>
    <m/>
    <m/>
    <m/>
    <m/>
    <n v="0"/>
    <n v="0"/>
    <m/>
    <m/>
    <m/>
    <s v="Purchased"/>
    <s v="Own funding"/>
    <m/>
    <s v="A.Mbuli"/>
    <m/>
    <m/>
    <m/>
    <m/>
    <m/>
  </r>
  <r>
    <s v="NHC 000344"/>
    <s v="Open Plan HR"/>
    <s v="PPE"/>
    <x v="0"/>
    <s v="MOV"/>
    <x v="0"/>
    <s v="OTH"/>
    <x v="0"/>
    <s v="OTH"/>
    <s v="Other Assets"/>
    <s v="Main offices"/>
    <s v="Main offices"/>
    <s v="OTH"/>
    <s v="Chair"/>
    <s v="OTH"/>
    <m/>
    <s v="Chair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1515.44"/>
    <m/>
    <n v="0"/>
    <n v="0"/>
    <n v="0"/>
    <n v="1515.44"/>
    <n v="84.19111111111124"/>
    <n v="0"/>
    <m/>
    <m/>
    <n v="-1431.2488888888888"/>
    <m/>
    <s v="NO"/>
    <m/>
    <m/>
    <n v="-84.19111111111124"/>
    <n v="-7.015925925925937"/>
    <m/>
    <s v="Straight line"/>
    <n v="0"/>
    <n v="-1515.44"/>
    <m/>
    <m/>
    <m/>
    <m/>
    <n v="0"/>
    <n v="0"/>
    <m/>
    <m/>
    <m/>
    <s v="Purchased"/>
    <s v="Own funding"/>
    <m/>
    <s v="A. Noge"/>
    <m/>
    <m/>
    <m/>
    <m/>
    <m/>
  </r>
  <r>
    <s v="NHC 000345"/>
    <s v="Open Plan communications "/>
    <s v="PPE"/>
    <x v="0"/>
    <s v="MOV"/>
    <x v="0"/>
    <s v="OTH"/>
    <x v="0"/>
    <s v="OTH"/>
    <s v="Other Assets"/>
    <s v="Main offices"/>
    <s v="Main offices"/>
    <s v="OTH"/>
    <s v="Chair*****"/>
    <s v="OTH"/>
    <m/>
    <s v="Chair*****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515.44"/>
    <m/>
    <n v="0"/>
    <n v="0"/>
    <n v="0"/>
    <n v="1515.44"/>
    <n v="84.19111111111124"/>
    <n v="0"/>
    <m/>
    <m/>
    <n v="-1431.2488888888888"/>
    <m/>
    <s v="NO"/>
    <m/>
    <m/>
    <n v="-84.19111111111124"/>
    <n v="-7.015925925925937"/>
    <m/>
    <s v="Straight line"/>
    <n v="0"/>
    <n v="-1515.44"/>
    <m/>
    <m/>
    <m/>
    <m/>
    <n v="0"/>
    <n v="0"/>
    <m/>
    <m/>
    <m/>
    <s v="Purchased"/>
    <s v="Own funding"/>
    <m/>
    <s v="S. Makhura"/>
    <m/>
    <m/>
    <m/>
    <m/>
    <m/>
  </r>
  <r>
    <s v="NHC 000347"/>
    <s v="Open Plan core business"/>
    <s v="PPE"/>
    <x v="0"/>
    <s v="MOV"/>
    <x v="0"/>
    <s v="OTH"/>
    <x v="0"/>
    <s v="OTH"/>
    <s v="Other Assets"/>
    <s v="Main offices"/>
    <s v="Main offices"/>
    <s v="OTH"/>
    <s v="Chair"/>
    <s v="OTH"/>
    <m/>
    <s v="Chair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515.44"/>
    <m/>
    <n v="0"/>
    <n v="0"/>
    <n v="0"/>
    <n v="1515.44"/>
    <n v="84.19111111111124"/>
    <n v="0"/>
    <m/>
    <m/>
    <n v="-1431.2488888888888"/>
    <m/>
    <s v="NO"/>
    <m/>
    <m/>
    <n v="-84.19111111111124"/>
    <n v="-7.015925925925937"/>
    <m/>
    <s v="Straight line"/>
    <n v="0"/>
    <n v="-1515.44"/>
    <m/>
    <m/>
    <m/>
    <m/>
    <n v="0"/>
    <n v="0"/>
    <m/>
    <m/>
    <m/>
    <s v="Purchased"/>
    <s v="Own funding"/>
    <m/>
    <s v="S.Skenjana"/>
    <m/>
    <m/>
    <m/>
    <m/>
    <m/>
  </r>
  <r>
    <s v="NHC 000415"/>
    <s v="R23"/>
    <s v="PPE"/>
    <x v="0"/>
    <s v="MOV"/>
    <x v="0"/>
    <s v="OTH"/>
    <x v="0"/>
    <s v="OTH"/>
    <s v="Other Assets"/>
    <s v="Main offices"/>
    <s v="Main offices"/>
    <s v="OTH"/>
    <s v="Round Table"/>
    <s v="OTH"/>
    <m/>
    <s v="Round Table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780.24"/>
    <m/>
    <n v="0"/>
    <n v="0"/>
    <n v="0"/>
    <n v="3780.24"/>
    <n v="210.01333333333332"/>
    <n v="0"/>
    <m/>
    <m/>
    <n v="-3570.2266666666665"/>
    <m/>
    <s v="NO"/>
    <m/>
    <m/>
    <n v="-210.01333333333332"/>
    <n v="-17.501111111111111"/>
    <m/>
    <s v="Straight line"/>
    <n v="0"/>
    <n v="-3780.24"/>
    <m/>
    <m/>
    <m/>
    <m/>
    <n v="0"/>
    <n v="0"/>
    <m/>
    <m/>
    <m/>
    <s v="Purchased"/>
    <s v="Own funding"/>
    <m/>
    <s v="TL. Shilakwe"/>
    <m/>
    <m/>
    <m/>
    <m/>
    <m/>
  </r>
  <r>
    <s v="NHC 000437"/>
    <s v="R28 "/>
    <s v="PPE"/>
    <x v="0"/>
    <s v="MOV"/>
    <x v="0"/>
    <s v="OTH"/>
    <x v="0"/>
    <s v="OTH"/>
    <s v="Other Assets"/>
    <s v="Main offices"/>
    <s v="Main offices"/>
    <s v="OTH"/>
    <s v="Rhodes visitors armchair-antique"/>
    <s v="OTH"/>
    <m/>
    <s v="Rhodes visitors armchair-antique"/>
    <s v="Cost Model"/>
    <s v="Owned"/>
    <s v="Core"/>
    <x v="0"/>
    <s v="Finance and Administration : Asset Management"/>
    <s v="FX005002001000000000000000000000000"/>
    <s v="IA002015001018001001000000000000000000"/>
    <n v="1"/>
    <s v="25/04/2004"/>
    <d v="2004-04-25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M. TAWANE"/>
    <m/>
    <m/>
    <m/>
    <m/>
    <m/>
  </r>
  <r>
    <s v="NHC 000056"/>
    <s v="R5 "/>
    <s v="PPE"/>
    <x v="0"/>
    <s v="MOV"/>
    <x v="0"/>
    <s v="OTH"/>
    <x v="0"/>
    <s v="OTH"/>
    <s v="Other Assets"/>
    <s v="Main offices"/>
    <s v="Main offices"/>
    <s v="OTH"/>
    <s v="Visitor Chair"/>
    <s v="OTH"/>
    <m/>
    <s v="Visitor Chair"/>
    <s v="Cost Model"/>
    <s v="Owned"/>
    <s v="Core"/>
    <x v="0"/>
    <s v="Finance and Administration : Asset Management"/>
    <s v="FX005002001000000000000000000000000"/>
    <s v="IA002015001018001001000000000000000000"/>
    <n v="1"/>
    <s v="25/03/2005"/>
    <d v="2005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850"/>
    <m/>
    <n v="0"/>
    <n v="0"/>
    <n v="0"/>
    <n v="850"/>
    <n v="47.222222222222172"/>
    <n v="0"/>
    <m/>
    <m/>
    <n v="-802.77777777777783"/>
    <m/>
    <s v="NO"/>
    <m/>
    <m/>
    <n v="-47.222222222222172"/>
    <n v="-3.9351851851851811"/>
    <m/>
    <s v="Straight line"/>
    <n v="0"/>
    <n v="-850"/>
    <m/>
    <m/>
    <m/>
    <m/>
    <n v="0"/>
    <n v="0"/>
    <m/>
    <m/>
    <m/>
    <s v="Purchased"/>
    <s v="Own funding"/>
    <m/>
    <s v="S. PUDIKABEKWA"/>
    <m/>
    <m/>
    <m/>
    <m/>
    <m/>
  </r>
  <r>
    <s v="NHC 000581"/>
    <s v="R31"/>
    <s v="PPE"/>
    <x v="0"/>
    <s v="MOV"/>
    <x v="0"/>
    <s v="OTH"/>
    <x v="0"/>
    <s v="OTH"/>
    <s v="Other Assets"/>
    <s v="Main offices"/>
    <s v="Main offices"/>
    <s v="OTH"/>
    <s v="Cabinet"/>
    <s v="OTH"/>
    <m/>
    <s v="Cabinet"/>
    <s v="Cost Model"/>
    <s v="Owned"/>
    <s v="Core"/>
    <x v="0"/>
    <s v="Finance and Administration : Asset Management"/>
    <s v="FX005002001000000000000000000000000"/>
    <s v="IA002015001018001001000000000000000000"/>
    <n v="1"/>
    <s v="28/10/2010"/>
    <d v="2010-10-28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11.6"/>
    <m/>
    <n v="0"/>
    <n v="0"/>
    <n v="0"/>
    <n v="2211.6"/>
    <n v="122.86666666666679"/>
    <n v="0"/>
    <m/>
    <m/>
    <n v="-2088.7333333333331"/>
    <m/>
    <s v="NO"/>
    <m/>
    <m/>
    <n v="-122.86666666666679"/>
    <n v="-10.2388888888889"/>
    <m/>
    <s v="Straight line"/>
    <n v="0"/>
    <n v="-2211.6"/>
    <m/>
    <m/>
    <m/>
    <m/>
    <n v="0"/>
    <n v="0"/>
    <m/>
    <m/>
    <m/>
    <s v="Purchased"/>
    <s v="Own funding"/>
    <m/>
    <s v="A.MULAUDZI"/>
    <m/>
    <m/>
    <m/>
    <m/>
    <m/>
  </r>
  <r>
    <s v="NHC 000582"/>
    <s v="R31"/>
    <s v="PPE"/>
    <x v="0"/>
    <s v="MOV"/>
    <x v="0"/>
    <s v="OTH"/>
    <x v="0"/>
    <s v="OTH"/>
    <s v="Other Assets"/>
    <s v="Main offices"/>
    <s v="Main offices"/>
    <s v="OTH"/>
    <s v="Cabinet"/>
    <s v="OTH"/>
    <m/>
    <s v="Cabinet"/>
    <s v="Cost Model"/>
    <s v="Owned"/>
    <s v="Core"/>
    <x v="0"/>
    <s v="Finance and Administration : Asset Management"/>
    <s v="FX005002001000000000000000000000000"/>
    <s v="IA002015001018001001000000000000000000"/>
    <n v="1"/>
    <s v="28/10/2010"/>
    <d v="2010-10-28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11.6"/>
    <m/>
    <n v="0"/>
    <n v="0"/>
    <n v="0"/>
    <n v="2211.6"/>
    <n v="122.86666666666679"/>
    <n v="0"/>
    <m/>
    <m/>
    <n v="-2088.7333333333331"/>
    <m/>
    <s v="NO"/>
    <m/>
    <m/>
    <n v="-122.86666666666679"/>
    <n v="-10.2388888888889"/>
    <m/>
    <s v="Straight line"/>
    <n v="0"/>
    <n v="-2211.6"/>
    <m/>
    <m/>
    <m/>
    <m/>
    <n v="0"/>
    <n v="0"/>
    <m/>
    <m/>
    <m/>
    <s v="Purchased"/>
    <s v="Own funding"/>
    <m/>
    <s v="A.MULAUDZI"/>
    <m/>
    <m/>
    <m/>
    <m/>
    <m/>
  </r>
  <r>
    <s v="NHC 000583"/>
    <s v="R31"/>
    <s v="PPE"/>
    <x v="0"/>
    <s v="MOV"/>
    <x v="0"/>
    <s v="OTH"/>
    <x v="0"/>
    <s v="OTH"/>
    <s v="Other Assets"/>
    <s v="Main offices"/>
    <s v="Main offices"/>
    <s v="OTH"/>
    <s v="Cabinet"/>
    <s v="OTH"/>
    <m/>
    <s v="Cabinet"/>
    <s v="Cost Model"/>
    <s v="Owned"/>
    <s v="Core"/>
    <x v="0"/>
    <s v="Finance and Administration : Asset Management"/>
    <s v="FX005002001000000000000000000000000"/>
    <s v="IA002015001018001001000000000000000000"/>
    <n v="1"/>
    <s v="28/10/2010"/>
    <d v="2010-10-28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11.6"/>
    <m/>
    <n v="0"/>
    <n v="0"/>
    <n v="0"/>
    <n v="2211.6"/>
    <n v="122.86666666666679"/>
    <n v="0"/>
    <m/>
    <m/>
    <n v="-2088.7333333333331"/>
    <m/>
    <s v="NO"/>
    <m/>
    <m/>
    <n v="-122.86666666666679"/>
    <n v="-10.2388888888889"/>
    <m/>
    <s v="Straight line"/>
    <n v="0"/>
    <n v="-2211.6"/>
    <m/>
    <m/>
    <m/>
    <m/>
    <n v="0"/>
    <n v="0"/>
    <m/>
    <m/>
    <m/>
    <s v="Purchased"/>
    <s v="Own funding"/>
    <m/>
    <s v="A.MULAUDZI"/>
    <m/>
    <m/>
    <m/>
    <m/>
    <m/>
  </r>
  <r>
    <s v="NHC 000584"/>
    <s v="R31"/>
    <s v="PPE"/>
    <x v="0"/>
    <s v="MOV"/>
    <x v="0"/>
    <s v="OTH"/>
    <x v="0"/>
    <s v="OTH"/>
    <s v="Other Assets"/>
    <s v="Main offices"/>
    <s v="Main offices"/>
    <s v="OTH"/>
    <s v="Cabinet"/>
    <s v="OTH"/>
    <m/>
    <s v="Cabinet"/>
    <s v="Cost Model"/>
    <s v="Owned"/>
    <s v="Core"/>
    <x v="0"/>
    <s v="Finance and Administration : Asset Management"/>
    <s v="FX005002001000000000000000000000000"/>
    <s v="IA002015001018001001000000000000000000"/>
    <n v="1"/>
    <s v="28/10/2010"/>
    <d v="2010-10-28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11.6"/>
    <m/>
    <n v="0"/>
    <n v="0"/>
    <n v="0"/>
    <n v="2211.6"/>
    <n v="122.86666666666679"/>
    <n v="0"/>
    <m/>
    <m/>
    <n v="-2088.7333333333331"/>
    <m/>
    <s v="NO"/>
    <m/>
    <m/>
    <n v="-122.86666666666679"/>
    <n v="-10.2388888888889"/>
    <m/>
    <s v="Straight line"/>
    <n v="0"/>
    <n v="-2211.6"/>
    <m/>
    <m/>
    <m/>
    <m/>
    <n v="0"/>
    <n v="0"/>
    <m/>
    <m/>
    <m/>
    <s v="Purchased"/>
    <s v="Own funding"/>
    <m/>
    <s v="A.MULAUDZI"/>
    <m/>
    <m/>
    <m/>
    <m/>
    <m/>
  </r>
  <r>
    <s v="NHC 000585"/>
    <s v="R31"/>
    <s v="PPE"/>
    <x v="0"/>
    <s v="MOV"/>
    <x v="0"/>
    <s v="OTH"/>
    <x v="0"/>
    <s v="OTH"/>
    <s v="Other Assets"/>
    <s v="Main offices"/>
    <s v="Main offices"/>
    <s v="OTH"/>
    <s v="Cabinet"/>
    <s v="OTH"/>
    <m/>
    <s v="Cabinet"/>
    <s v="Cost Model"/>
    <s v="Owned"/>
    <s v="Core"/>
    <x v="0"/>
    <s v="Finance and Administration : Asset Management"/>
    <s v="FX005002001000000000000000000000000"/>
    <s v="IA002015001018001001000000000000000000"/>
    <n v="1"/>
    <s v="28/10/2010"/>
    <d v="2010-10-28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11.6"/>
    <m/>
    <n v="0"/>
    <n v="0"/>
    <n v="0"/>
    <n v="2211.6"/>
    <n v="122.86666666666679"/>
    <n v="0"/>
    <m/>
    <m/>
    <n v="-2088.7333333333331"/>
    <m/>
    <s v="NO"/>
    <m/>
    <m/>
    <n v="-122.86666666666679"/>
    <n v="-10.2388888888889"/>
    <m/>
    <s v="Straight line"/>
    <n v="0"/>
    <n v="-2211.6"/>
    <m/>
    <m/>
    <m/>
    <m/>
    <n v="0"/>
    <n v="0"/>
    <m/>
    <m/>
    <m/>
    <s v="Purchased"/>
    <s v="Own funding"/>
    <m/>
    <s v="A.MULAUDZI"/>
    <m/>
    <m/>
    <m/>
    <m/>
    <m/>
  </r>
  <r>
    <s v="NHC 000586"/>
    <s v="R31"/>
    <s v="PPE"/>
    <x v="0"/>
    <s v="MOV"/>
    <x v="0"/>
    <s v="OTH"/>
    <x v="0"/>
    <s v="OTH"/>
    <s v="Other Assets"/>
    <s v="Main offices"/>
    <s v="Main offices"/>
    <s v="OTH"/>
    <s v="Cabinet"/>
    <s v="OTH"/>
    <m/>
    <s v="Cabinet"/>
    <s v="Cost Model"/>
    <s v="Owned"/>
    <s v="Core"/>
    <x v="0"/>
    <s v="Finance and Administration : Asset Management"/>
    <s v="FX005002001000000000000000000000000"/>
    <s v="IA002015001018001001000000000000000000"/>
    <n v="1"/>
    <s v="28/10/2010"/>
    <d v="2010-10-28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11.6"/>
    <m/>
    <n v="0"/>
    <n v="0"/>
    <n v="0"/>
    <n v="2211.6"/>
    <n v="122.86666666666679"/>
    <n v="0"/>
    <m/>
    <m/>
    <n v="-2088.7333333333331"/>
    <m/>
    <s v="NO"/>
    <m/>
    <m/>
    <n v="-122.86666666666679"/>
    <n v="-10.2388888888889"/>
    <m/>
    <s v="Straight line"/>
    <n v="0"/>
    <n v="-2211.6"/>
    <m/>
    <m/>
    <m/>
    <m/>
    <n v="0"/>
    <n v="0"/>
    <m/>
    <m/>
    <m/>
    <s v="Purchased"/>
    <s v="Own funding"/>
    <m/>
    <s v="A.MULAUDZI"/>
    <m/>
    <m/>
    <m/>
    <m/>
    <m/>
  </r>
  <r>
    <s v="NHC 000588"/>
    <s v="R31"/>
    <s v="PPE"/>
    <x v="0"/>
    <s v="MOV"/>
    <x v="0"/>
    <s v="OTH"/>
    <x v="0"/>
    <s v="OTH"/>
    <s v="Other Assets"/>
    <s v="Main offices"/>
    <s v="Main offices"/>
    <s v="OTH"/>
    <s v="Cabinet"/>
    <s v="OTH"/>
    <m/>
    <s v="Cabinet"/>
    <s v="Cost Model"/>
    <s v="Owned"/>
    <s v="Core"/>
    <x v="0"/>
    <s v="Finance and Administration : Asset Management"/>
    <s v="FX005002001000000000000000000000000"/>
    <s v="IA002015001018001001000000000000000000"/>
    <n v="1"/>
    <s v="28/10/2010"/>
    <d v="2010-10-28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950.1"/>
    <m/>
    <n v="0"/>
    <n v="0"/>
    <n v="0"/>
    <n v="3950.1"/>
    <n v="219.45000000000027"/>
    <n v="0"/>
    <m/>
    <m/>
    <n v="-3730.6499999999996"/>
    <m/>
    <s v="NO"/>
    <m/>
    <m/>
    <n v="-219.45000000000027"/>
    <n v="-18.287500000000023"/>
    <m/>
    <s v="Straight line"/>
    <n v="0"/>
    <n v="-3950.1"/>
    <m/>
    <m/>
    <m/>
    <m/>
    <n v="0"/>
    <n v="0"/>
    <m/>
    <m/>
    <m/>
    <s v="Purchased"/>
    <s v="Own funding"/>
    <m/>
    <s v="A. Mulaudzi"/>
    <m/>
    <m/>
    <m/>
    <m/>
    <m/>
  </r>
  <r>
    <s v="NHC 000589"/>
    <s v="R31"/>
    <s v="PPE"/>
    <x v="0"/>
    <s v="MOV"/>
    <x v="0"/>
    <s v="OTH"/>
    <x v="0"/>
    <s v="OTH"/>
    <s v="Other Assets"/>
    <s v="Main offices"/>
    <s v="Main offices"/>
    <s v="OTH"/>
    <s v="Cabinet"/>
    <s v="OTH"/>
    <m/>
    <s v="Cabinet"/>
    <s v="Cost Model"/>
    <s v="Owned"/>
    <s v="Core"/>
    <x v="0"/>
    <s v="Finance and Administration : Asset Management"/>
    <s v="FX005002001000000000000000000000000"/>
    <s v="IA002015001018001001000000000000000000"/>
    <n v="1"/>
    <s v="28/10/2010"/>
    <d v="2010-10-28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950.1"/>
    <m/>
    <n v="0"/>
    <n v="0"/>
    <n v="0"/>
    <n v="3950.1"/>
    <n v="219.45000000000027"/>
    <n v="0"/>
    <m/>
    <m/>
    <n v="-3730.6499999999996"/>
    <m/>
    <s v="NO"/>
    <m/>
    <m/>
    <n v="-219.45000000000027"/>
    <n v="-18.287500000000023"/>
    <m/>
    <s v="Straight line"/>
    <n v="0"/>
    <n v="-3950.1"/>
    <m/>
    <m/>
    <m/>
    <m/>
    <n v="0"/>
    <n v="0"/>
    <m/>
    <m/>
    <m/>
    <s v="Purchased"/>
    <s v="Own funding"/>
    <m/>
    <s v="A. Mulaudzi"/>
    <m/>
    <m/>
    <m/>
    <m/>
    <m/>
  </r>
  <r>
    <s v="NHC 000590"/>
    <s v="R31"/>
    <s v="PPE"/>
    <x v="0"/>
    <s v="MOV"/>
    <x v="0"/>
    <s v="OTH"/>
    <x v="0"/>
    <s v="OTH"/>
    <s v="Other Assets"/>
    <s v="Main offices"/>
    <s v="Main offices"/>
    <s v="OTH"/>
    <s v="Cabinet"/>
    <s v="OTH"/>
    <m/>
    <s v="Cabinet"/>
    <s v="Cost Model"/>
    <s v="Owned"/>
    <s v="Core"/>
    <x v="0"/>
    <s v="Finance and Administration : Asset Management"/>
    <s v="FX005002001000000000000000000000000"/>
    <s v="IA002015001018001001000000000000000000"/>
    <n v="1"/>
    <s v="28/10/2010"/>
    <d v="2010-10-28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950.1"/>
    <m/>
    <n v="0"/>
    <n v="0"/>
    <n v="0"/>
    <n v="3950.1"/>
    <n v="219.45000000000027"/>
    <n v="0"/>
    <m/>
    <m/>
    <n v="-3730.6499999999996"/>
    <m/>
    <s v="NO"/>
    <m/>
    <m/>
    <n v="-219.45000000000027"/>
    <n v="-18.287500000000023"/>
    <m/>
    <s v="Straight line"/>
    <n v="0"/>
    <n v="-3950.1"/>
    <m/>
    <m/>
    <m/>
    <m/>
    <n v="0"/>
    <n v="0"/>
    <m/>
    <m/>
    <m/>
    <s v="Purchased"/>
    <s v="Own funding"/>
    <m/>
    <s v="A. Mulaudzi"/>
    <m/>
    <m/>
    <m/>
    <m/>
    <m/>
  </r>
  <r>
    <s v="NHC 000592"/>
    <s v="R31"/>
    <s v="PPE"/>
    <x v="0"/>
    <s v="MOV"/>
    <x v="0"/>
    <s v="OTH"/>
    <x v="0"/>
    <s v="OTH"/>
    <s v="Other Assets"/>
    <s v="Main offices"/>
    <s v="Main offices"/>
    <s v="OTH"/>
    <s v="Cabinet"/>
    <s v="OTH"/>
    <m/>
    <s v="Cabinet"/>
    <s v="Cost Model"/>
    <s v="Owned"/>
    <s v="Core"/>
    <x v="0"/>
    <s v="Finance and Administration : Asset Management"/>
    <s v="FX005002001000000000000000000000000"/>
    <s v="IA002015001018001001000000000000000000"/>
    <n v="1"/>
    <s v="28/10/2010"/>
    <d v="2010-10-28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950.1"/>
    <m/>
    <n v="0"/>
    <n v="0"/>
    <n v="0"/>
    <n v="3950.1"/>
    <n v="219.45000000000027"/>
    <n v="0"/>
    <m/>
    <m/>
    <n v="-3730.6499999999996"/>
    <m/>
    <s v="NO"/>
    <m/>
    <m/>
    <n v="-219.45000000000027"/>
    <n v="-18.287500000000023"/>
    <m/>
    <s v="Straight line"/>
    <n v="0"/>
    <n v="-3950.1"/>
    <m/>
    <m/>
    <m/>
    <m/>
    <n v="0"/>
    <n v="0"/>
    <m/>
    <m/>
    <m/>
    <s v="Purchased"/>
    <s v="Own funding"/>
    <m/>
    <s v="A. Mulaudzi"/>
    <m/>
    <m/>
    <m/>
    <m/>
    <m/>
  </r>
  <r>
    <s v="NHC 000561"/>
    <s v="R10 executive office"/>
    <s v="PPE"/>
    <x v="0"/>
    <s v="MOV"/>
    <x v="0"/>
    <s v="OTH"/>
    <x v="0"/>
    <s v="OTH"/>
    <s v="Other Assets"/>
    <s v="Main offices"/>
    <s v="Main offices"/>
    <s v="OTH"/>
    <s v="Systems Cabinet"/>
    <s v="OTH"/>
    <m/>
    <s v="Systems Cabinet"/>
    <s v="Cost Model"/>
    <s v="Owned"/>
    <s v="Core"/>
    <x v="0"/>
    <s v="Finance and Administration : Asset Management"/>
    <s v="FX005002001000000000000000000000000"/>
    <s v="IA002015001018001001000000000000000000"/>
    <n v="1"/>
    <s v="10/08/2007"/>
    <d v="2007-08-10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839.41"/>
    <m/>
    <n v="0"/>
    <n v="0"/>
    <n v="0"/>
    <n v="3839.41"/>
    <n v="213.30055555555555"/>
    <n v="0"/>
    <m/>
    <m/>
    <n v="-3626.1094444444443"/>
    <m/>
    <s v="NO"/>
    <m/>
    <m/>
    <n v="-213.30055555555555"/>
    <n v="-17.775046296296296"/>
    <m/>
    <s v="Straight line"/>
    <n v="0"/>
    <n v="-3839.41"/>
    <m/>
    <m/>
    <m/>
    <m/>
    <n v="0"/>
    <n v="0"/>
    <m/>
    <m/>
    <m/>
    <s v="Purchased"/>
    <s v="Own funding"/>
    <m/>
    <s v="M Chamane"/>
    <m/>
    <m/>
    <m/>
    <m/>
    <m/>
  </r>
  <r>
    <s v="NHC000456"/>
    <n v="0"/>
    <s v="PPE"/>
    <x v="0"/>
    <s v="MOV"/>
    <x v="0"/>
    <s v="OTH"/>
    <x v="0"/>
    <s v="OTH"/>
    <s v="Other Assets"/>
    <s v="Main offices"/>
    <s v="Main offices"/>
    <s v="OTH"/>
    <s v="Mirror"/>
    <s v="OTH"/>
    <m/>
    <s v="Mirror"/>
    <s v="Cost Model"/>
    <s v="Owned"/>
    <s v="Core"/>
    <x v="0"/>
    <s v="Finance and Administration : Asset Management"/>
    <s v="FX005002001000000000000000000000000"/>
    <s v="IA002015001018001001000000000000000000"/>
    <n v="1"/>
    <s v="25/02/2008"/>
    <d v="2008-02-25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850"/>
    <m/>
    <n v="0"/>
    <n v="0"/>
    <n v="0"/>
    <n v="850"/>
    <n v="47.222222222222172"/>
    <n v="0"/>
    <m/>
    <m/>
    <n v="-802.77777777777783"/>
    <m/>
    <s v="NO"/>
    <m/>
    <m/>
    <n v="-47.222222222222172"/>
    <n v="-3.9351851851851811"/>
    <m/>
    <s v="Straight line"/>
    <n v="0"/>
    <n v="-850"/>
    <m/>
    <m/>
    <m/>
    <m/>
    <n v="0"/>
    <n v="0"/>
    <m/>
    <m/>
    <m/>
    <s v="Purchased"/>
    <s v="Own funding"/>
    <m/>
    <n v="0"/>
    <m/>
    <m/>
    <m/>
    <m/>
    <m/>
  </r>
  <r>
    <s v="NHC0074"/>
    <s v="R3"/>
    <s v="PPE"/>
    <x v="0"/>
    <s v="MOV"/>
    <x v="0"/>
    <s v="OTH"/>
    <x v="0"/>
    <s v="OTH"/>
    <s v="Other Assets"/>
    <s v="Main offices"/>
    <s v="Main offices"/>
    <s v="OTH"/>
    <s v="3 Drawer pedestal"/>
    <s v="OTH"/>
    <m/>
    <s v="3 Drawer pedestal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180.47"/>
    <m/>
    <n v="0"/>
    <n v="0"/>
    <n v="0"/>
    <n v="1180.47"/>
    <n v="65.581666666666706"/>
    <n v="0"/>
    <m/>
    <m/>
    <n v="-1114.8883333333333"/>
    <m/>
    <s v="NO"/>
    <m/>
    <m/>
    <n v="-65.581666666666706"/>
    <n v="-5.4651388888888919"/>
    <m/>
    <s v="Straight line"/>
    <n v="0"/>
    <n v="-1180.47"/>
    <m/>
    <m/>
    <m/>
    <m/>
    <n v="0"/>
    <n v="0"/>
    <m/>
    <m/>
    <m/>
    <s v="Purchased"/>
    <s v="Own funding"/>
    <m/>
    <s v="M.Manenzhe"/>
    <m/>
    <m/>
    <m/>
    <m/>
    <m/>
  </r>
  <r>
    <s v="NHC000804"/>
    <s v="R1 Open plan finance "/>
    <s v="PPE"/>
    <x v="0"/>
    <s v="MOV"/>
    <x v="0"/>
    <s v="OTH"/>
    <x v="0"/>
    <s v="OTH"/>
    <s v="Other Assets"/>
    <s v="Main offices"/>
    <s v="Main offices"/>
    <s v="OTH"/>
    <s v="High Back Chair"/>
    <s v="OTH"/>
    <m/>
    <s v="High Back Chair"/>
    <s v="Cost Model"/>
    <s v="Owned"/>
    <s v="Core"/>
    <x v="0"/>
    <s v="Finance and Administration : Asset Management"/>
    <s v="FX005002001000000000000000000000000"/>
    <s v="IA002015001018001001000000000000000000"/>
    <n v="1"/>
    <s v="17/02/2012"/>
    <d v="2012-02-1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900.6"/>
    <m/>
    <n v="0"/>
    <n v="0"/>
    <n v="0"/>
    <n v="900.6"/>
    <n v="50.033333333333417"/>
    <n v="0"/>
    <m/>
    <m/>
    <n v="-850.56666666666661"/>
    <m/>
    <s v="NO"/>
    <m/>
    <m/>
    <n v="-50.033333333333417"/>
    <n v="-4.1694444444444514"/>
    <m/>
    <s v="Straight line"/>
    <n v="0"/>
    <n v="-900.6"/>
    <m/>
    <m/>
    <m/>
    <m/>
    <n v="0"/>
    <n v="0"/>
    <m/>
    <m/>
    <m/>
    <s v="Purchased"/>
    <s v="Own funding"/>
    <m/>
    <s v="N.V Mtshali"/>
    <m/>
    <m/>
    <m/>
    <m/>
    <m/>
  </r>
  <r>
    <s v="NHC000857"/>
    <s v="Open Plan core business"/>
    <s v="PPE"/>
    <x v="0"/>
    <s v="MOV"/>
    <x v="0"/>
    <s v="OTH"/>
    <x v="0"/>
    <s v="OTH"/>
    <s v="Other Assets"/>
    <s v="Main offices"/>
    <s v="Main offices"/>
    <s v="OTH"/>
    <s v="High Back Chair"/>
    <s v="OTH"/>
    <m/>
    <s v="High Back Chair"/>
    <s v="Cost Model"/>
    <s v="Owned"/>
    <s v="Core"/>
    <x v="0"/>
    <s v="Finance and Administration : Asset Management"/>
    <s v="FX005002001000000000000000000000000"/>
    <s v="IA002015001018001001000000000000000000"/>
    <n v="1"/>
    <s v="17/02/2012"/>
    <d v="2012-02-17T00:00:00"/>
    <s v="NO"/>
    <s v="Yes"/>
    <d v="2022-03-31T00:00:00"/>
    <s v="NA - Actual Cost"/>
    <n v="6"/>
    <n v="0"/>
    <n v="0"/>
    <s v="No Change"/>
    <m/>
    <m/>
    <n v="1"/>
    <m/>
    <n v="1"/>
    <n v="0"/>
    <s v="4 - Poor (11-25%)"/>
    <m/>
    <s v="Actual Cost"/>
    <n v="900.6"/>
    <m/>
    <n v="0"/>
    <n v="0"/>
    <n v="0"/>
    <n v="900.6"/>
    <n v="50.033333333333417"/>
    <n v="0"/>
    <m/>
    <m/>
    <n v="-850.56666666666661"/>
    <m/>
    <s v="NO"/>
    <m/>
    <m/>
    <n v="-50.033333333333417"/>
    <n v="-4.1694444444444514"/>
    <m/>
    <s v="Straight line"/>
    <n v="0"/>
    <n v="-900.6"/>
    <m/>
    <m/>
    <m/>
    <m/>
    <n v="0"/>
    <n v="0"/>
    <m/>
    <m/>
    <m/>
    <s v="Purchased"/>
    <s v="Own funding"/>
    <m/>
    <s v="G. Mdluli"/>
    <m/>
    <m/>
    <m/>
    <m/>
    <m/>
  </r>
  <r>
    <n v="1026"/>
    <s v="Open plan finance"/>
    <s v="PPE"/>
    <x v="0"/>
    <s v="MOV"/>
    <x v="0"/>
    <s v="OTH"/>
    <x v="0"/>
    <s v="OTH"/>
    <s v="Other Assets"/>
    <s v="Main offices"/>
    <s v="Main offices"/>
    <s v="OTH"/>
    <s v="High Back Chair"/>
    <s v="OTH"/>
    <m/>
    <s v="High Back Chair Cloth Armrest and Wheels Black "/>
    <s v="Cost Model"/>
    <s v="Owned"/>
    <s v="Core"/>
    <x v="0"/>
    <s v="Finance and Administration : Asset Management"/>
    <s v="FX005002001000000000000000000000000"/>
    <s v="IA002015001018001001000000000000000000"/>
    <n v="1"/>
    <s v="17/02/2012"/>
    <d v="2012-02-1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900.6"/>
    <m/>
    <n v="0"/>
    <n v="0"/>
    <n v="0"/>
    <n v="900.6"/>
    <n v="50.033333333333417"/>
    <n v="0"/>
    <m/>
    <m/>
    <n v="-850.56666666666661"/>
    <m/>
    <s v="NO"/>
    <m/>
    <m/>
    <n v="-50.033333333333417"/>
    <n v="-4.1694444444444514"/>
    <m/>
    <s v="Straight line"/>
    <n v="0"/>
    <n v="-900.6"/>
    <m/>
    <m/>
    <m/>
    <m/>
    <n v="0"/>
    <n v="0"/>
    <m/>
    <m/>
    <m/>
    <s v="Purchased"/>
    <s v="Own funding"/>
    <m/>
    <s v="L Zwane"/>
    <m/>
    <m/>
    <m/>
    <m/>
    <m/>
  </r>
  <r>
    <s v="NHC000869"/>
    <s v="Open Plan HR"/>
    <s v="PPE"/>
    <x v="0"/>
    <s v="MOV"/>
    <x v="0"/>
    <s v="OTH"/>
    <x v="0"/>
    <s v="OTH"/>
    <s v="Other Assets"/>
    <s v="Main offices"/>
    <s v="Main offices"/>
    <s v="OTH"/>
    <s v="Visitor Chairs"/>
    <s v="OTH"/>
    <m/>
    <s v="Visitor Chairs"/>
    <s v="Cost Model"/>
    <s v="Owned"/>
    <s v="Core"/>
    <x v="0"/>
    <s v="Finance and Administration : Asset Management"/>
    <s v="FX005002001000000000000000000000000"/>
    <s v="IA002015001018001001000000000000000000"/>
    <n v="1"/>
    <s v="17/02/2012"/>
    <d v="2012-02-1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832.2"/>
    <m/>
    <n v="0"/>
    <n v="0"/>
    <n v="0"/>
    <n v="832.2"/>
    <n v="46.233333333333348"/>
    <n v="0"/>
    <m/>
    <m/>
    <n v="-785.9666666666667"/>
    <m/>
    <s v="NO"/>
    <m/>
    <m/>
    <n v="-46.233333333333348"/>
    <n v="-3.8527777777777792"/>
    <m/>
    <s v="Straight line"/>
    <n v="0"/>
    <n v="-832.2"/>
    <m/>
    <m/>
    <m/>
    <m/>
    <n v="0"/>
    <n v="0"/>
    <m/>
    <m/>
    <m/>
    <s v="Purchased"/>
    <s v="Own funding"/>
    <m/>
    <s v="M. Ndalamo"/>
    <m/>
    <m/>
    <m/>
    <m/>
    <m/>
  </r>
  <r>
    <s v="NHC000839"/>
    <s v="R21 HR store room"/>
    <s v="PPE"/>
    <x v="0"/>
    <s v="MOV"/>
    <x v="0"/>
    <s v="OTH"/>
    <x v="0"/>
    <s v="OTH"/>
    <s v="Other Assets"/>
    <s v="Main offices"/>
    <s v="Main offices"/>
    <s v="OTH"/>
    <s v="Steel Cabinet"/>
    <s v="OTH"/>
    <m/>
    <s v="Steel Cabinet"/>
    <s v="Cost Model"/>
    <s v="Owned"/>
    <s v="Core"/>
    <x v="0"/>
    <s v="Finance and Administration : Asset Management"/>
    <s v="FX005002001000000000000000000000000"/>
    <s v="IA002015001018001001000000000000000000"/>
    <n v="1"/>
    <s v="17/02/2012"/>
    <d v="2012-02-1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40.6"/>
    <m/>
    <n v="0"/>
    <n v="0"/>
    <n v="0"/>
    <n v="2040.6"/>
    <n v="113.36666666666679"/>
    <n v="0"/>
    <m/>
    <m/>
    <n v="-1927.2333333333331"/>
    <m/>
    <s v="NO"/>
    <m/>
    <m/>
    <n v="-113.36666666666679"/>
    <n v="-9.4472222222222317"/>
    <m/>
    <s v="Straight line"/>
    <n v="0"/>
    <n v="-2040.6"/>
    <m/>
    <m/>
    <m/>
    <m/>
    <n v="0"/>
    <n v="0"/>
    <m/>
    <m/>
    <m/>
    <s v="Purchased"/>
    <s v="Own funding"/>
    <m/>
    <s v="A.Noge"/>
    <m/>
    <m/>
    <m/>
    <m/>
    <m/>
  </r>
  <r>
    <s v="NHC000836"/>
    <s v="Open Plan HR"/>
    <s v="PPE"/>
    <x v="0"/>
    <s v="MOV"/>
    <x v="0"/>
    <s v="OTH"/>
    <x v="0"/>
    <s v="OTH"/>
    <s v="Other Assets"/>
    <s v="Main offices"/>
    <s v="Main offices"/>
    <s v="OTH"/>
    <s v="Steel Cabinet"/>
    <s v="OTH"/>
    <m/>
    <s v="Steel Cabinet"/>
    <s v="Cost Model"/>
    <s v="Owned"/>
    <s v="Core"/>
    <x v="0"/>
    <s v="Finance and Administration : Asset Management"/>
    <s v="FX005002001000000000000000000000000"/>
    <s v="IA002015001018001001000000000000000000"/>
    <n v="1"/>
    <s v="17/02/2012"/>
    <d v="2012-02-1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40.6"/>
    <m/>
    <n v="0"/>
    <n v="0"/>
    <n v="0"/>
    <n v="2040.6"/>
    <n v="113.36666666666679"/>
    <n v="0"/>
    <m/>
    <m/>
    <n v="-1927.2333333333331"/>
    <m/>
    <s v="NO"/>
    <m/>
    <m/>
    <n v="-113.36666666666679"/>
    <n v="-9.4472222222222317"/>
    <m/>
    <s v="Straight line"/>
    <n v="0"/>
    <n v="-2040.6"/>
    <m/>
    <m/>
    <m/>
    <m/>
    <n v="0"/>
    <n v="0"/>
    <m/>
    <m/>
    <m/>
    <s v="Purchased"/>
    <s v="Own funding"/>
    <m/>
    <s v="M. Ndalamo"/>
    <m/>
    <m/>
    <m/>
    <m/>
    <m/>
  </r>
  <r>
    <s v="NHC000840"/>
    <s v="Open Plan HR"/>
    <s v="PPE"/>
    <x v="0"/>
    <s v="MOV"/>
    <x v="0"/>
    <s v="OTH"/>
    <x v="0"/>
    <s v="OTH"/>
    <s v="Other Assets"/>
    <s v="Main offices"/>
    <s v="Main offices"/>
    <s v="OTH"/>
    <s v="Steel Cabinet"/>
    <s v="OTH"/>
    <m/>
    <s v="Steel Cabinet"/>
    <s v="Cost Model"/>
    <s v="Owned"/>
    <s v="Core"/>
    <x v="0"/>
    <s v="Finance and Administration : Asset Management"/>
    <s v="FX005002001000000000000000000000000"/>
    <s v="IA002015001018001001000000000000000000"/>
    <n v="1"/>
    <s v="17/02/2012"/>
    <d v="2012-02-1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40.6"/>
    <m/>
    <n v="0"/>
    <n v="0"/>
    <n v="0"/>
    <n v="2040.6"/>
    <n v="113.36666666666679"/>
    <n v="0"/>
    <m/>
    <m/>
    <n v="-1927.2333333333331"/>
    <m/>
    <s v="NO"/>
    <m/>
    <m/>
    <n v="-113.36666666666679"/>
    <n v="-9.4472222222222317"/>
    <m/>
    <s v="Straight line"/>
    <n v="0"/>
    <n v="-2040.6"/>
    <m/>
    <m/>
    <m/>
    <m/>
    <n v="0"/>
    <n v="0"/>
    <m/>
    <m/>
    <m/>
    <s v="Purchased"/>
    <s v="Own funding"/>
    <m/>
    <s v="M. Ndalamo"/>
    <m/>
    <m/>
    <m/>
    <m/>
    <m/>
  </r>
  <r>
    <s v="NHC000860"/>
    <s v="Open plan co- business "/>
    <s v="PPE"/>
    <x v="0"/>
    <s v="MOV"/>
    <x v="0"/>
    <s v="OTH"/>
    <x v="0"/>
    <s v="OTH"/>
    <s v="Other Assets"/>
    <s v="Main offices"/>
    <s v="Main offices"/>
    <s v="OTH"/>
    <s v="Wood Cabinet"/>
    <s v="OTH"/>
    <m/>
    <s v="Wood Cabinet"/>
    <s v="Cost Model"/>
    <s v="Owned"/>
    <s v="Core"/>
    <x v="0"/>
    <s v="Finance and Administration : Asset Management"/>
    <s v="FX005002001000000000000000000000000"/>
    <s v="IA002015001018001001000000000000000000"/>
    <n v="1"/>
    <s v="17/02/2012"/>
    <d v="2012-02-17T00:00:00"/>
    <s v="NO"/>
    <s v="Yes"/>
    <d v="2022-03-31T00:00:00"/>
    <s v="NA - Actual Cost"/>
    <n v="6"/>
    <n v="0"/>
    <n v="0"/>
    <s v="No Change"/>
    <m/>
    <m/>
    <n v="1"/>
    <m/>
    <n v="1"/>
    <n v="0"/>
    <s v="1 - Very good (71-100%)"/>
    <m/>
    <s v="Actual Cost"/>
    <n v="2793"/>
    <m/>
    <n v="0"/>
    <n v="0"/>
    <n v="0"/>
    <n v="2793"/>
    <n v="155.16666666666697"/>
    <n v="0"/>
    <m/>
    <m/>
    <n v="-2637.833333333333"/>
    <m/>
    <s v="NO"/>
    <m/>
    <m/>
    <n v="-155.16666666666697"/>
    <n v="-12.93055555555558"/>
    <m/>
    <s v="Straight line"/>
    <n v="0"/>
    <n v="-2793"/>
    <m/>
    <m/>
    <m/>
    <m/>
    <n v="0"/>
    <n v="0"/>
    <m/>
    <m/>
    <m/>
    <s v="Purchased"/>
    <s v="Own funding"/>
    <m/>
    <s v="S. Zimela"/>
    <m/>
    <m/>
    <m/>
    <m/>
    <m/>
  </r>
  <r>
    <s v="NHC000813"/>
    <s v="R29"/>
    <s v="PPE"/>
    <x v="0"/>
    <s v="MOV"/>
    <x v="0"/>
    <s v="OTH"/>
    <x v="0"/>
    <s v="OTH"/>
    <s v="Other Assets"/>
    <s v="Main offices"/>
    <s v="Main offices"/>
    <s v="OTH"/>
    <s v="Wood Cabinet"/>
    <s v="OTH"/>
    <m/>
    <s v="Wood Cabinet"/>
    <s v="Cost Model"/>
    <s v="Owned"/>
    <s v="Core"/>
    <x v="0"/>
    <s v="Finance and Administration : Asset Management"/>
    <s v="FX005002001000000000000000000000000"/>
    <s v="IA002015001018001001000000000000000000"/>
    <n v="1"/>
    <s v="17/02/2012"/>
    <d v="2012-02-17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2793"/>
    <m/>
    <n v="0"/>
    <n v="0"/>
    <n v="0"/>
    <n v="2793"/>
    <n v="155.16666666666697"/>
    <n v="0"/>
    <m/>
    <m/>
    <n v="-2637.833333333333"/>
    <m/>
    <s v="NO"/>
    <m/>
    <m/>
    <n v="-155.16666666666697"/>
    <n v="-12.93055555555558"/>
    <m/>
    <s v="Straight line"/>
    <n v="0"/>
    <n v="-2793"/>
    <m/>
    <m/>
    <m/>
    <m/>
    <n v="0"/>
    <n v="0"/>
    <m/>
    <m/>
    <m/>
    <s v="Purchased"/>
    <s v="Own funding"/>
    <m/>
    <s v="A. Mulaudzi"/>
    <m/>
    <m/>
    <m/>
    <m/>
    <m/>
  </r>
  <r>
    <s v="NHC000876"/>
    <s v="Open plan finance"/>
    <s v="PPE"/>
    <x v="0"/>
    <s v="MOV"/>
    <x v="0"/>
    <s v="OTH"/>
    <x v="0"/>
    <s v="OTH"/>
    <s v="Other Assets"/>
    <s v="Main offices"/>
    <s v="Main offices"/>
    <s v="OTH"/>
    <s v="Work Station (Desk)"/>
    <s v="OTH"/>
    <m/>
    <s v="Work Station (Desk)"/>
    <s v="Cost Model"/>
    <s v="Owned"/>
    <s v="Core"/>
    <x v="0"/>
    <s v="Finance and Administration : Asset Management"/>
    <s v="FX005002001000000000000000000000000"/>
    <s v="IA002015001018001001000000000000000000"/>
    <n v="1"/>
    <s v="17/02/2012"/>
    <d v="2012-02-1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203.4"/>
    <m/>
    <n v="0"/>
    <n v="0"/>
    <n v="0"/>
    <n v="3203.4"/>
    <n v="177.9666666666667"/>
    <n v="0"/>
    <m/>
    <m/>
    <n v="-3025.4333333333334"/>
    <m/>
    <s v="NO"/>
    <m/>
    <m/>
    <n v="-177.9666666666667"/>
    <n v="-14.830555555555557"/>
    <m/>
    <s v="Straight line"/>
    <n v="0"/>
    <n v="-3203.4"/>
    <m/>
    <m/>
    <m/>
    <m/>
    <n v="0"/>
    <n v="0"/>
    <m/>
    <m/>
    <m/>
    <s v="Purchased"/>
    <s v="Own funding"/>
    <m/>
    <s v="L.Mashilo"/>
    <m/>
    <m/>
    <m/>
    <m/>
    <m/>
  </r>
  <r>
    <s v="NHC000890"/>
    <s v="R13 CEO Offce"/>
    <s v="PPE"/>
    <x v="0"/>
    <s v="MOV"/>
    <x v="0"/>
    <s v="OTH"/>
    <x v="0"/>
    <s v="OTH"/>
    <s v="Other Assets"/>
    <s v="Main offices"/>
    <s v="Main offices"/>
    <s v="OTH"/>
    <s v="Wiston W/B Couch"/>
    <s v="OTH"/>
    <m/>
    <s v="Wiston W/B Couch"/>
    <s v="Cost Model"/>
    <s v="Owned"/>
    <s v="Core"/>
    <x v="0"/>
    <s v="Finance and Administration : Asset Management"/>
    <s v="FX005002001000000000000000000000000"/>
    <s v="IA002015001018001001000000000000000000"/>
    <n v="1"/>
    <s v="09/03/2012"/>
    <d v="2012-03-09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311.5"/>
    <m/>
    <n v="0"/>
    <n v="0"/>
    <n v="0"/>
    <n v="2311.5"/>
    <n v="128.41666666666697"/>
    <n v="0"/>
    <m/>
    <m/>
    <n v="-2183.083333333333"/>
    <m/>
    <s v="NO"/>
    <m/>
    <m/>
    <n v="-128.41666666666697"/>
    <n v="-10.701388888888914"/>
    <m/>
    <s v="Straight line"/>
    <n v="0"/>
    <n v="-2311.5"/>
    <m/>
    <m/>
    <m/>
    <m/>
    <n v="0"/>
    <n v="0"/>
    <m/>
    <m/>
    <m/>
    <s v="Purchased"/>
    <s v="Own funding"/>
    <m/>
    <s v="T. Manetsi"/>
    <m/>
    <m/>
    <m/>
    <m/>
    <m/>
  </r>
  <r>
    <s v="NHC000525"/>
    <s v="R25"/>
    <s v="PPE"/>
    <x v="0"/>
    <s v="MOV"/>
    <x v="0"/>
    <s v="OTH"/>
    <x v="0"/>
    <s v="OTH"/>
    <s v="Other Assets"/>
    <s v="Main offices"/>
    <s v="Main offices"/>
    <s v="OTH"/>
    <s v="Hinged Door Cabinet"/>
    <s v="OTH"/>
    <m/>
    <s v="Hinged Door Cabinet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505.5"/>
    <m/>
    <n v="0"/>
    <n v="0"/>
    <n v="0"/>
    <n v="3505.5"/>
    <n v="194.75"/>
    <n v="0"/>
    <m/>
    <m/>
    <n v="-3310.75"/>
    <m/>
    <s v="NO"/>
    <m/>
    <m/>
    <n v="-194.75"/>
    <n v="-16.229166666666668"/>
    <m/>
    <s v="Straight line"/>
    <n v="0"/>
    <n v="-3505.5"/>
    <m/>
    <m/>
    <m/>
    <m/>
    <n v="0"/>
    <n v="0"/>
    <m/>
    <m/>
    <m/>
    <s v="Purchased"/>
    <s v="Own funding"/>
    <m/>
    <s v="L. Mphafe"/>
    <m/>
    <m/>
    <m/>
    <m/>
    <m/>
  </r>
  <r>
    <s v="NHC 000277"/>
    <s v="R27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09/09/2005"/>
    <d v="2005-09-09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n v="0"/>
    <n v="0"/>
    <n v="0"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m/>
    <m/>
    <m/>
    <s v="Purchased"/>
    <s v="Own funding"/>
    <m/>
    <s v="B. Maqasela"/>
    <m/>
    <m/>
    <m/>
    <m/>
    <m/>
  </r>
  <r>
    <s v="NHC 000246"/>
    <s v="Open plan co- business "/>
    <s v="PPE"/>
    <x v="0"/>
    <s v="MOV"/>
    <x v="0"/>
    <s v="OTH"/>
    <x v="0"/>
    <s v="OTH"/>
    <s v="Other Assets"/>
    <s v="Main offices"/>
    <s v="Main offices"/>
    <s v="OTH"/>
    <s v="Visitors chair Leather"/>
    <s v="OTH"/>
    <m/>
    <s v="Visitor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3/09/2005"/>
    <d v="2005-09-1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37"/>
    <m/>
    <n v="0"/>
    <n v="0"/>
    <n v="0"/>
    <n v="2237"/>
    <n v="124.27777777777783"/>
    <n v="0"/>
    <m/>
    <m/>
    <n v="-2112.7222222222222"/>
    <m/>
    <s v="NO"/>
    <m/>
    <m/>
    <n v="-124.27777777777783"/>
    <n v="-10.356481481481486"/>
    <m/>
    <s v="Straight line"/>
    <n v="0"/>
    <n v="-2237"/>
    <m/>
    <m/>
    <m/>
    <m/>
    <n v="0"/>
    <n v="0"/>
    <m/>
    <m/>
    <m/>
    <s v="Purchased"/>
    <s v="Own funding"/>
    <m/>
    <s v="T. Maso"/>
    <m/>
    <m/>
    <m/>
    <m/>
    <m/>
  </r>
  <r>
    <s v="NHC 000262"/>
    <s v="R15 executive office"/>
    <s v="PPE"/>
    <x v="0"/>
    <s v="MOV"/>
    <x v="0"/>
    <s v="OTH"/>
    <x v="0"/>
    <s v="OTH"/>
    <s v="Other Assets"/>
    <s v="Main offices"/>
    <s v="Main offices"/>
    <s v="OTH"/>
    <s v="Visitors chair Leather"/>
    <s v="OTH"/>
    <m/>
    <s v="Visitor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3/09/2005"/>
    <d v="2005-09-1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37"/>
    <m/>
    <n v="0"/>
    <n v="0"/>
    <n v="0"/>
    <n v="2237"/>
    <n v="124.27777777777783"/>
    <n v="0"/>
    <m/>
    <m/>
    <n v="-2112.7222222222222"/>
    <m/>
    <s v="NO"/>
    <m/>
    <m/>
    <n v="-124.27777777777783"/>
    <n v="-10.356481481481486"/>
    <m/>
    <s v="Straight line"/>
    <n v="0"/>
    <n v="-2237"/>
    <m/>
    <m/>
    <m/>
    <m/>
    <n v="0"/>
    <n v="0"/>
    <m/>
    <m/>
    <m/>
    <s v="Purchased"/>
    <s v="Own funding"/>
    <m/>
    <s v="C. Van Huyssteen"/>
    <m/>
    <m/>
    <m/>
    <m/>
    <m/>
  </r>
  <r>
    <s v="NHC000921"/>
    <s v="Open Plan Communications"/>
    <s v="PPE"/>
    <x v="0"/>
    <s v="MOV"/>
    <x v="0"/>
    <s v="OTH"/>
    <x v="0"/>
    <s v="OTH"/>
    <s v="Other Assets"/>
    <s v="Main offices"/>
    <s v="Main offices"/>
    <s v="OTH"/>
    <s v="CUPBOARD"/>
    <s v="OTH"/>
    <m/>
    <s v="CUPBOARD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3700"/>
    <m/>
    <n v="0"/>
    <n v="0"/>
    <n v="0"/>
    <n v="3700"/>
    <n v="205.55555555555566"/>
    <n v="0"/>
    <m/>
    <m/>
    <n v="-3494.4444444444443"/>
    <m/>
    <s v="NO"/>
    <m/>
    <m/>
    <n v="-205.55555555555566"/>
    <n v="-17.129629629629637"/>
    <m/>
    <s v="Straight line"/>
    <n v="0"/>
    <n v="-3700"/>
    <m/>
    <m/>
    <m/>
    <m/>
    <n v="0"/>
    <n v="0"/>
    <m/>
    <m/>
    <m/>
    <s v="Purchased"/>
    <s v="Own funding"/>
    <m/>
    <s v="S. Makhura"/>
    <m/>
    <m/>
    <m/>
    <m/>
    <m/>
  </r>
  <r>
    <s v="NHC000678"/>
    <s v="R1 Open plan finance "/>
    <s v="PPE"/>
    <x v="0"/>
    <s v="MOV"/>
    <x v="0"/>
    <s v="OTH"/>
    <x v="0"/>
    <s v="OTH"/>
    <s v="Other Assets"/>
    <s v="Main offices"/>
    <s v="Main offices"/>
    <s v="OTH"/>
    <s v="CHAIR HIGHBACK LEATHER"/>
    <s v="OTH"/>
    <m/>
    <s v="CHAIR HIGHBACK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850"/>
    <m/>
    <n v="0"/>
    <n v="0"/>
    <n v="0"/>
    <n v="3850"/>
    <n v="213.88888888888869"/>
    <n v="0"/>
    <m/>
    <m/>
    <n v="-3636.1111111111113"/>
    <m/>
    <s v="NO"/>
    <m/>
    <m/>
    <n v="-213.88888888888869"/>
    <n v="-17.824074074074058"/>
    <m/>
    <s v="Straight line"/>
    <n v="0"/>
    <n v="-3850"/>
    <m/>
    <m/>
    <m/>
    <m/>
    <n v="0"/>
    <n v="0"/>
    <m/>
    <m/>
    <m/>
    <s v="Purchased"/>
    <s v="Own funding"/>
    <m/>
    <s v="D.T Mkhonto"/>
    <m/>
    <m/>
    <m/>
    <m/>
    <m/>
  </r>
  <r>
    <s v="NHC000912"/>
    <s v="R22"/>
    <s v="PPE"/>
    <x v="0"/>
    <s v="MOV"/>
    <x v="0"/>
    <s v="OTH"/>
    <x v="0"/>
    <s v="OTH"/>
    <s v="Other Assets"/>
    <s v="Main offices"/>
    <s v="Main offices"/>
    <s v="OTH"/>
    <s v="CUPBOARD OSK"/>
    <s v="OTH"/>
    <m/>
    <s v="CUPBOARD OSK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700"/>
    <m/>
    <n v="0"/>
    <n v="0"/>
    <n v="0"/>
    <n v="3700"/>
    <n v="205.55555555555566"/>
    <n v="0"/>
    <m/>
    <m/>
    <n v="-3494.4444444444443"/>
    <m/>
    <s v="NO"/>
    <m/>
    <m/>
    <n v="-205.55555555555566"/>
    <n v="-17.129629629629637"/>
    <m/>
    <s v="Straight line"/>
    <n v="0"/>
    <n v="-3700"/>
    <m/>
    <m/>
    <m/>
    <m/>
    <n v="0"/>
    <n v="0"/>
    <m/>
    <m/>
    <m/>
    <s v="Purchased"/>
    <s v="Own funding"/>
    <m/>
    <s v="SP. Pudikabekwa"/>
    <m/>
    <m/>
    <m/>
    <m/>
    <m/>
  </r>
  <r>
    <s v="NHC000913"/>
    <s v="R22"/>
    <s v="PPE"/>
    <x v="0"/>
    <s v="MOV"/>
    <x v="0"/>
    <s v="OTH"/>
    <x v="0"/>
    <s v="OTH"/>
    <s v="Other Assets"/>
    <s v="Main offices"/>
    <s v="Main offices"/>
    <s v="OTH"/>
    <s v="CUPBOARD OAK"/>
    <s v="OTH"/>
    <m/>
    <s v="CUPBOARD OAK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700"/>
    <m/>
    <n v="0"/>
    <n v="0"/>
    <n v="0"/>
    <n v="3700"/>
    <n v="205.55555555555566"/>
    <n v="0"/>
    <m/>
    <m/>
    <n v="-3494.4444444444443"/>
    <m/>
    <s v="NO"/>
    <m/>
    <m/>
    <n v="-205.55555555555566"/>
    <n v="-17.129629629629637"/>
    <m/>
    <s v="Straight line"/>
    <n v="0"/>
    <n v="-3700"/>
    <m/>
    <m/>
    <m/>
    <m/>
    <n v="0"/>
    <n v="0"/>
    <m/>
    <m/>
    <m/>
    <s v="Purchased"/>
    <s v="Own funding"/>
    <m/>
    <s v="SP. Pudikabekwa"/>
    <m/>
    <m/>
    <m/>
    <m/>
    <m/>
  </r>
  <r>
    <s v="NHC000662"/>
    <s v="R22"/>
    <s v="PPE"/>
    <x v="0"/>
    <s v="MOV"/>
    <x v="0"/>
    <s v="OTH"/>
    <x v="0"/>
    <s v="OTH"/>
    <s v="Other Assets"/>
    <s v="Main offices"/>
    <s v="Main offices"/>
    <s v="OTH"/>
    <s v="CHAIR HIGHBACK LEATHER"/>
    <s v="OTH"/>
    <m/>
    <s v="CHAIR HIGHBACK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4250"/>
    <m/>
    <n v="0"/>
    <n v="0"/>
    <n v="0"/>
    <n v="4250"/>
    <n v="236.11111111111131"/>
    <n v="0"/>
    <m/>
    <m/>
    <n v="-4013.8888888888887"/>
    <m/>
    <s v="NO"/>
    <m/>
    <m/>
    <n v="-236.11111111111131"/>
    <n v="-19.675925925925942"/>
    <m/>
    <s v="Straight line"/>
    <n v="0"/>
    <n v="-4250"/>
    <m/>
    <m/>
    <m/>
    <m/>
    <n v="0"/>
    <n v="0"/>
    <m/>
    <m/>
    <m/>
    <s v="Purchased"/>
    <s v="Own funding"/>
    <m/>
    <s v="S.P Pudikabekwa "/>
    <m/>
    <m/>
    <m/>
    <m/>
    <m/>
  </r>
  <r>
    <s v="NHC000909"/>
    <n v="0"/>
    <s v="PPE"/>
    <x v="0"/>
    <s v="MOV"/>
    <x v="0"/>
    <s v="OTH"/>
    <x v="0"/>
    <s v="OTH"/>
    <s v="Other Assets"/>
    <s v="Main offices"/>
    <s v="Main offices"/>
    <s v="OTH"/>
    <s v="CHAIR VISITORS"/>
    <s v="OTH"/>
    <m/>
    <s v="CHAIR VISITORS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1600"/>
    <m/>
    <n v="0"/>
    <n v="0"/>
    <n v="0"/>
    <n v="1600"/>
    <n v="88.888888888888687"/>
    <n v="0"/>
    <m/>
    <m/>
    <n v="-1511.1111111111113"/>
    <m/>
    <s v="NO"/>
    <m/>
    <m/>
    <n v="-88.888888888888687"/>
    <n v="-7.4074074074073906"/>
    <m/>
    <s v="Straight line"/>
    <n v="0"/>
    <n v="-1600"/>
    <m/>
    <m/>
    <m/>
    <m/>
    <n v="0"/>
    <n v="0"/>
    <m/>
    <m/>
    <m/>
    <s v="Purchased"/>
    <s v="Own funding"/>
    <m/>
    <n v="0"/>
    <m/>
    <m/>
    <m/>
    <m/>
    <m/>
  </r>
  <r>
    <s v="NHC000915"/>
    <s v="Open plan co- business "/>
    <s v="PPE"/>
    <x v="0"/>
    <s v="MOV"/>
    <x v="0"/>
    <s v="OTH"/>
    <x v="0"/>
    <s v="OTH"/>
    <s v="Other Assets"/>
    <s v="Main offices"/>
    <s v="Main offices"/>
    <s v="OTH"/>
    <s v="TABLE ROUND CONFERENCE"/>
    <s v="OTH"/>
    <m/>
    <s v="TABLE ROUND CONFERENCE"/>
    <s v="Cost Model"/>
    <s v="Owned"/>
    <s v="Core"/>
    <x v="0"/>
    <s v="Finance and Administration : Asset Management"/>
    <s v="FX005002001000000000000000000000000"/>
    <s v="IA002015001018001001000000000000000000"/>
    <n v="1"/>
    <s v="08/11/2013"/>
    <d v="2013-11-08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4900"/>
    <m/>
    <n v="0"/>
    <n v="0"/>
    <n v="0"/>
    <n v="4900"/>
    <n v="272.22222222222263"/>
    <n v="0"/>
    <m/>
    <m/>
    <n v="-4627.7777777777774"/>
    <m/>
    <s v="NO"/>
    <m/>
    <m/>
    <n v="-272.22222222222263"/>
    <n v="-22.685185185185219"/>
    <m/>
    <s v="Straight line"/>
    <n v="0"/>
    <n v="-4900"/>
    <m/>
    <m/>
    <m/>
    <m/>
    <n v="0"/>
    <n v="0"/>
    <m/>
    <m/>
    <m/>
    <s v="Purchased"/>
    <s v="Own funding"/>
    <m/>
    <s v="T. Maso"/>
    <m/>
    <m/>
    <m/>
    <m/>
    <m/>
  </r>
  <r>
    <s v="NHC000681"/>
    <s v="R3 "/>
    <s v="PPE"/>
    <x v="0"/>
    <s v="MOV"/>
    <x v="0"/>
    <s v="OTH"/>
    <x v="0"/>
    <s v="OTH"/>
    <s v="Other Assets"/>
    <s v="Main offices"/>
    <s v="Main offices"/>
    <s v="OTH"/>
    <s v="CHAIR HIGHBACK LEATHER"/>
    <s v="OTH"/>
    <m/>
    <s v="CHAIR HIGHBACK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4250"/>
    <m/>
    <n v="0"/>
    <n v="0"/>
    <n v="0"/>
    <n v="4250"/>
    <n v="236.11111111111131"/>
    <n v="0"/>
    <m/>
    <m/>
    <n v="-4013.8888888888887"/>
    <m/>
    <s v="NO"/>
    <m/>
    <m/>
    <n v="-236.11111111111131"/>
    <n v="-19.675925925925942"/>
    <m/>
    <s v="Straight line"/>
    <n v="0"/>
    <n v="-4250"/>
    <m/>
    <m/>
    <m/>
    <m/>
    <n v="0"/>
    <n v="0"/>
    <m/>
    <m/>
    <m/>
    <s v="Purchased"/>
    <s v="Own funding"/>
    <m/>
    <s v="M. Manenzhe"/>
    <m/>
    <m/>
    <m/>
    <m/>
    <m/>
  </r>
  <r>
    <s v="NHC000905"/>
    <s v="R30"/>
    <s v="PPE"/>
    <x v="0"/>
    <s v="MOV"/>
    <x v="0"/>
    <s v="OTH"/>
    <x v="0"/>
    <s v="OTH"/>
    <s v="Other Assets"/>
    <s v="Main offices"/>
    <s v="Main offices"/>
    <s v="OTH"/>
    <s v="CHAIR HIGHBACK LEATHER"/>
    <s v="OTH"/>
    <m/>
    <s v="CHAIR HIGHBACK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4250"/>
    <m/>
    <n v="0"/>
    <n v="0"/>
    <n v="0"/>
    <n v="4250"/>
    <n v="236.11111111111131"/>
    <n v="0"/>
    <m/>
    <m/>
    <n v="-4013.8888888888887"/>
    <m/>
    <s v="NO"/>
    <m/>
    <m/>
    <n v="-236.11111111111131"/>
    <n v="-19.675925925925942"/>
    <m/>
    <s v="Straight line"/>
    <n v="0"/>
    <n v="-4250"/>
    <m/>
    <m/>
    <m/>
    <m/>
    <n v="0"/>
    <n v="0"/>
    <m/>
    <m/>
    <m/>
    <s v="Purchased"/>
    <s v="Own funding"/>
    <m/>
    <s v="S.skenjana"/>
    <m/>
    <m/>
    <m/>
    <m/>
    <m/>
  </r>
  <r>
    <s v="NHC000670"/>
    <s v="Open Plan Co business "/>
    <s v="PPE"/>
    <x v="0"/>
    <s v="MOV"/>
    <x v="0"/>
    <s v="OTH"/>
    <x v="0"/>
    <s v="OTH"/>
    <s v="Other Assets"/>
    <s v="Main offices"/>
    <s v="Main offices"/>
    <s v="OTH"/>
    <s v="CHAIR HIGHBACK LEATHER"/>
    <s v="OTH"/>
    <m/>
    <s v="CHAIR HIGHBACK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4 - Poor (11-25%)"/>
    <m/>
    <s v="Actual Cost"/>
    <n v="4250"/>
    <m/>
    <n v="0"/>
    <n v="0"/>
    <n v="0"/>
    <n v="4250"/>
    <n v="236.11111111111131"/>
    <n v="0"/>
    <m/>
    <m/>
    <n v="-4013.8888888888887"/>
    <m/>
    <s v="NO"/>
    <m/>
    <m/>
    <n v="-236.11111111111131"/>
    <n v="-19.675925925925942"/>
    <m/>
    <s v="Straight line"/>
    <n v="0"/>
    <n v="-4250"/>
    <m/>
    <m/>
    <m/>
    <m/>
    <n v="0"/>
    <n v="0"/>
    <m/>
    <m/>
    <m/>
    <s v="Purchased"/>
    <s v="Own funding"/>
    <m/>
    <s v="R. Mandiwana"/>
    <m/>
    <m/>
    <m/>
    <m/>
    <m/>
  </r>
  <r>
    <s v="NHC000658"/>
    <s v="Open Plan Risk"/>
    <s v="PPE"/>
    <x v="0"/>
    <s v="MOV"/>
    <x v="0"/>
    <s v="OTH"/>
    <x v="0"/>
    <s v="OTH"/>
    <s v="Other Assets"/>
    <s v="Main offices"/>
    <s v="Main offices"/>
    <s v="OTH"/>
    <s v="CHAIR HIGHBACK LEATHER"/>
    <s v="OTH"/>
    <m/>
    <s v="CHAIR HIGHBACK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4250"/>
    <m/>
    <n v="0"/>
    <n v="0"/>
    <n v="0"/>
    <n v="4250"/>
    <n v="236.11111111111131"/>
    <n v="0"/>
    <m/>
    <m/>
    <n v="-4013.8888888888887"/>
    <m/>
    <s v="NO"/>
    <m/>
    <m/>
    <n v="-236.11111111111131"/>
    <n v="-19.675925925925942"/>
    <m/>
    <s v="Straight line"/>
    <n v="0"/>
    <n v="-4250"/>
    <m/>
    <m/>
    <m/>
    <m/>
    <n v="0"/>
    <n v="0"/>
    <m/>
    <m/>
    <m/>
    <s v="Purchased"/>
    <s v="Own funding"/>
    <m/>
    <s v="M. Ngwaila"/>
    <m/>
    <m/>
    <m/>
    <m/>
    <m/>
  </r>
  <r>
    <s v="NHC000661"/>
    <s v="R10 executive office"/>
    <s v="PPE"/>
    <x v="0"/>
    <s v="MOV"/>
    <x v="0"/>
    <s v="OTH"/>
    <x v="0"/>
    <s v="OTH"/>
    <s v="Other Assets"/>
    <s v="Main offices"/>
    <s v="Main offices"/>
    <s v="OTH"/>
    <s v="CHAIR HIGHBACK LEATHER"/>
    <s v="OTH"/>
    <m/>
    <s v="CHAIR HIGHBACK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4250"/>
    <m/>
    <n v="0"/>
    <n v="0"/>
    <n v="0"/>
    <n v="4250"/>
    <n v="236.11111111111131"/>
    <n v="0"/>
    <m/>
    <m/>
    <n v="-4013.8888888888887"/>
    <m/>
    <s v="NO"/>
    <m/>
    <m/>
    <n v="-236.11111111111131"/>
    <n v="-19.675925925925942"/>
    <m/>
    <s v="Straight line"/>
    <n v="0"/>
    <n v="-4250"/>
    <m/>
    <m/>
    <m/>
    <m/>
    <n v="0"/>
    <n v="0"/>
    <m/>
    <m/>
    <m/>
    <s v="Purchased"/>
    <s v="Own funding"/>
    <m/>
    <s v="M Chamane"/>
    <m/>
    <m/>
    <m/>
    <m/>
    <m/>
  </r>
  <r>
    <s v="NHC000668"/>
    <s v="Open Plan core business"/>
    <s v="PPE"/>
    <x v="0"/>
    <s v="MOV"/>
    <x v="0"/>
    <s v="OTH"/>
    <x v="0"/>
    <s v="OTH"/>
    <s v="Other Assets"/>
    <s v="Main offices"/>
    <s v="Main offices"/>
    <s v="OTH"/>
    <s v="CHAIR HIGHBACL LEATHER"/>
    <s v="OTH"/>
    <m/>
    <s v="CHAIR HIGHBACL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4 - Poor (11-25%)"/>
    <m/>
    <s v="Actual Cost"/>
    <n v="4250"/>
    <m/>
    <n v="0"/>
    <n v="0"/>
    <n v="0"/>
    <n v="4250"/>
    <n v="236.11111111111131"/>
    <n v="0"/>
    <m/>
    <m/>
    <n v="-4013.8888888888887"/>
    <m/>
    <s v="NO"/>
    <m/>
    <m/>
    <n v="-236.11111111111131"/>
    <n v="-19.675925925925942"/>
    <m/>
    <s v="Straight line"/>
    <n v="0"/>
    <n v="-4250"/>
    <m/>
    <m/>
    <m/>
    <m/>
    <n v="0"/>
    <n v="0"/>
    <m/>
    <m/>
    <m/>
    <s v="Purchased"/>
    <s v="Own funding"/>
    <m/>
    <s v="M. Maponya"/>
    <m/>
    <m/>
    <m/>
    <m/>
    <m/>
  </r>
  <r>
    <s v="NHC000641"/>
    <s v="R22"/>
    <s v="PPE"/>
    <x v="0"/>
    <s v="MOV"/>
    <x v="0"/>
    <s v="OTH"/>
    <x v="0"/>
    <s v="OTH"/>
    <s v="Other Assets"/>
    <s v="Main offices"/>
    <s v="Main offices"/>
    <s v="OTH"/>
    <s v="TABLE ROUND CONFERENCE"/>
    <s v="OTH"/>
    <m/>
    <s v="TABLE ROUND CONFERENCE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616.25"/>
    <m/>
    <n v="0"/>
    <n v="0"/>
    <n v="0"/>
    <n v="2616.25"/>
    <n v="145.34722222222217"/>
    <n v="0"/>
    <m/>
    <m/>
    <n v="-2470.9027777777778"/>
    <m/>
    <s v="NO"/>
    <m/>
    <m/>
    <n v="-145.34722222222217"/>
    <n v="-12.112268518518514"/>
    <m/>
    <s v="Straight line"/>
    <n v="0"/>
    <n v="-2616.25"/>
    <m/>
    <m/>
    <m/>
    <m/>
    <n v="0"/>
    <n v="0"/>
    <m/>
    <m/>
    <m/>
    <s v="Purchased"/>
    <s v="Own funding"/>
    <m/>
    <s v="S.P. Pudikabekwa"/>
    <m/>
    <m/>
    <m/>
    <m/>
    <m/>
  </r>
  <r>
    <s v="NHC000695"/>
    <s v="Open Plan core business"/>
    <s v="PPE"/>
    <x v="0"/>
    <s v="MOV"/>
    <x v="0"/>
    <s v="OTH"/>
    <x v="0"/>
    <s v="OTH"/>
    <s v="Other Assets"/>
    <s v="Main offices"/>
    <s v="Main offices"/>
    <s v="OTH"/>
    <s v="CHAIR HIGHBACK LEATHER"/>
    <s v="OTH"/>
    <m/>
    <s v="CHAIR HIGHBACK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4 - Poor (11-25%)"/>
    <m/>
    <s v="Actual Cost"/>
    <n v="4250"/>
    <m/>
    <n v="0"/>
    <n v="0"/>
    <n v="0"/>
    <n v="4250"/>
    <n v="236.11111111111131"/>
    <n v="0"/>
    <m/>
    <m/>
    <n v="-4013.8888888888887"/>
    <m/>
    <s v="NO"/>
    <m/>
    <m/>
    <n v="-236.11111111111131"/>
    <n v="-19.675925925925942"/>
    <m/>
    <s v="Straight line"/>
    <n v="0"/>
    <n v="-4250"/>
    <m/>
    <m/>
    <m/>
    <m/>
    <n v="0"/>
    <n v="0"/>
    <m/>
    <m/>
    <m/>
    <s v="Purchased"/>
    <s v="Own funding"/>
    <m/>
    <s v="K.S Mojapelo"/>
    <m/>
    <m/>
    <m/>
    <m/>
    <m/>
  </r>
  <r>
    <s v="NHC000675"/>
    <s v="Open Plan Co business "/>
    <s v="PPE"/>
    <x v="0"/>
    <s v="MOV"/>
    <x v="0"/>
    <s v="OTH"/>
    <x v="0"/>
    <s v="OTH"/>
    <s v="Other Assets"/>
    <s v="Main offices"/>
    <s v="Main offices"/>
    <s v="OTH"/>
    <s v="CHAIR VISITOR"/>
    <s v="OTH"/>
    <m/>
    <s v="CHAIR VISITO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5 - Very poor (0-10%)"/>
    <m/>
    <s v="Actual Cost"/>
    <n v="1600"/>
    <m/>
    <n v="0"/>
    <n v="0"/>
    <n v="0"/>
    <n v="1600"/>
    <n v="88.888888888888687"/>
    <n v="0"/>
    <m/>
    <m/>
    <n v="-1511.1111111111113"/>
    <m/>
    <s v="NO"/>
    <m/>
    <m/>
    <n v="-88.888888888888687"/>
    <n v="-7.4074074074073906"/>
    <m/>
    <s v="Straight line"/>
    <n v="0"/>
    <n v="-1600"/>
    <m/>
    <m/>
    <m/>
    <m/>
    <n v="0"/>
    <n v="0"/>
    <m/>
    <m/>
    <m/>
    <s v="Purchased"/>
    <s v="Own funding"/>
    <m/>
    <s v="SC. Thobejane"/>
    <m/>
    <m/>
    <m/>
    <m/>
    <m/>
  </r>
  <r>
    <s v="NHC000689"/>
    <s v="Open plan Risk"/>
    <s v="PPE"/>
    <x v="0"/>
    <s v="MOV"/>
    <x v="0"/>
    <s v="OTH"/>
    <x v="0"/>
    <s v="OTH"/>
    <s v="Other Assets"/>
    <s v="Main offices"/>
    <s v="Main offices"/>
    <s v="OTH"/>
    <s v="CHAIR VISITOR"/>
    <s v="OTH"/>
    <m/>
    <s v="CHAIR VISITO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4 - Poor (11-25%)"/>
    <m/>
    <s v="Actual Cost"/>
    <n v="1600"/>
    <m/>
    <n v="0"/>
    <n v="0"/>
    <n v="0"/>
    <n v="1600"/>
    <n v="88.888888888888687"/>
    <n v="0"/>
    <m/>
    <m/>
    <n v="-1511.1111111111113"/>
    <m/>
    <s v="NO"/>
    <m/>
    <m/>
    <n v="-88.888888888888687"/>
    <n v="-7.4074074074073906"/>
    <m/>
    <s v="Straight line"/>
    <n v="0"/>
    <n v="-1600"/>
    <m/>
    <m/>
    <m/>
    <m/>
    <n v="0"/>
    <n v="0"/>
    <m/>
    <m/>
    <m/>
    <s v="Purchased"/>
    <s v="Own funding"/>
    <m/>
    <s v="G. Hlatshwayo"/>
    <m/>
    <m/>
    <m/>
    <m/>
    <m/>
  </r>
  <r>
    <s v="NHC000692"/>
    <s v="R6 executive office"/>
    <s v="PPE"/>
    <x v="0"/>
    <s v="MOV"/>
    <x v="0"/>
    <s v="OTH"/>
    <x v="0"/>
    <s v="OTH"/>
    <s v="Other Assets"/>
    <s v="Main offices"/>
    <s v="Main offices"/>
    <s v="OTH"/>
    <s v="TABLE ROUND CONFERENCE"/>
    <s v="OTH"/>
    <m/>
    <s v="TABLE ROUND CONFERENCE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616.25"/>
    <m/>
    <n v="0"/>
    <n v="0"/>
    <n v="0"/>
    <n v="2616.25"/>
    <n v="145.34722222222217"/>
    <n v="0"/>
    <m/>
    <m/>
    <n v="-2470.9027777777778"/>
    <m/>
    <s v="NO"/>
    <m/>
    <m/>
    <n v="-145.34722222222217"/>
    <n v="-12.112268518518514"/>
    <m/>
    <s v="Straight line"/>
    <n v="0"/>
    <n v="-2616.25"/>
    <m/>
    <m/>
    <m/>
    <m/>
    <n v="0"/>
    <n v="0"/>
    <m/>
    <m/>
    <m/>
    <s v="Purchased"/>
    <s v="Own funding"/>
    <m/>
    <s v="T. Maake"/>
    <m/>
    <m/>
    <m/>
    <m/>
    <m/>
  </r>
  <r>
    <s v="NHC000686"/>
    <s v="Open Plan HR"/>
    <s v="PPE"/>
    <x v="0"/>
    <s v="MOV"/>
    <x v="0"/>
    <s v="OTH"/>
    <x v="0"/>
    <s v="OTH"/>
    <s v="Other Assets"/>
    <s v="Main offices"/>
    <s v="Main offices"/>
    <s v="OTH"/>
    <s v="CHAIR HIGHBACK LEATHER"/>
    <s v="OTH"/>
    <m/>
    <s v="CHAIR HIGHBACK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4250"/>
    <m/>
    <n v="0"/>
    <n v="0"/>
    <n v="0"/>
    <n v="4250"/>
    <n v="236.11111111111131"/>
    <n v="0"/>
    <m/>
    <m/>
    <n v="-4013.8888888888887"/>
    <m/>
    <s v="NO"/>
    <m/>
    <m/>
    <n v="-236.11111111111131"/>
    <n v="-19.675925925925942"/>
    <m/>
    <s v="Straight line"/>
    <n v="0"/>
    <n v="-4250"/>
    <m/>
    <m/>
    <m/>
    <m/>
    <n v="0"/>
    <n v="0"/>
    <m/>
    <m/>
    <m/>
    <s v="Purchased"/>
    <s v="Own funding"/>
    <m/>
    <s v="A. Noge"/>
    <m/>
    <m/>
    <m/>
    <m/>
    <m/>
  </r>
  <r>
    <s v="NHC000677"/>
    <s v="R29"/>
    <s v="PPE"/>
    <x v="0"/>
    <s v="MOV"/>
    <x v="0"/>
    <s v="OTH"/>
    <x v="0"/>
    <s v="OTH"/>
    <s v="Other Assets"/>
    <s v="Main offices"/>
    <s v="Main offices"/>
    <s v="OTH"/>
    <s v="CHAIR HIGHBACK LEATHER"/>
    <s v="OTH"/>
    <m/>
    <s v="CHAIR HIGHBACK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4250"/>
    <m/>
    <n v="0"/>
    <n v="0"/>
    <n v="0"/>
    <n v="4250"/>
    <n v="236.11111111111131"/>
    <n v="0"/>
    <m/>
    <m/>
    <n v="-4013.8888888888887"/>
    <m/>
    <s v="NO"/>
    <m/>
    <m/>
    <n v="-236.11111111111131"/>
    <n v="-19.675925925925942"/>
    <m/>
    <s v="Straight line"/>
    <n v="0"/>
    <n v="-4250"/>
    <m/>
    <m/>
    <m/>
    <m/>
    <n v="0"/>
    <n v="0"/>
    <m/>
    <m/>
    <m/>
    <s v="Purchased"/>
    <s v="Own funding"/>
    <m/>
    <s v="A. Mulaudzi"/>
    <m/>
    <m/>
    <m/>
    <m/>
    <m/>
  </r>
  <r>
    <s v="NHC000659"/>
    <s v="R5"/>
    <s v="PPE"/>
    <x v="0"/>
    <s v="MOV"/>
    <x v="0"/>
    <s v="OTH"/>
    <x v="0"/>
    <s v="OTH"/>
    <s v="Other Assets"/>
    <s v="Main offices"/>
    <s v="Main offices"/>
    <s v="OTH"/>
    <s v="CABINET DRAWER STEEL"/>
    <s v="OTH"/>
    <m/>
    <s v="CABINET DRAWER STEEL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400"/>
    <m/>
    <n v="0"/>
    <n v="0"/>
    <n v="0"/>
    <n v="3400"/>
    <n v="188.88888888888869"/>
    <n v="0"/>
    <m/>
    <m/>
    <n v="-3211.1111111111113"/>
    <m/>
    <s v="NO"/>
    <m/>
    <m/>
    <n v="-188.88888888888869"/>
    <n v="-15.740740740740724"/>
    <m/>
    <s v="Straight line"/>
    <n v="0"/>
    <n v="-3400"/>
    <m/>
    <m/>
    <m/>
    <m/>
    <n v="0"/>
    <n v="0"/>
    <m/>
    <m/>
    <m/>
    <s v="Purchased"/>
    <s v="Own funding"/>
    <m/>
    <s v="S. Pudikabekwa"/>
    <m/>
    <m/>
    <m/>
    <m/>
    <m/>
  </r>
  <r>
    <s v="NHC000682"/>
    <s v="Open plan Office finance"/>
    <s v="PPE"/>
    <x v="0"/>
    <s v="MOV"/>
    <x v="0"/>
    <s v="OTH"/>
    <x v="0"/>
    <s v="OTH"/>
    <s v="Other Assets"/>
    <s v="Main offices"/>
    <s v="Main offices"/>
    <s v="OTH"/>
    <s v="CHAIR HIGHBACK LEATHER"/>
    <s v="OTH"/>
    <m/>
    <s v="CHAIR HIGHBACK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4250"/>
    <m/>
    <n v="0"/>
    <n v="0"/>
    <n v="0"/>
    <n v="4250"/>
    <n v="236.11111111111131"/>
    <n v="0"/>
    <m/>
    <m/>
    <n v="-4013.8888888888887"/>
    <m/>
    <s v="NO"/>
    <m/>
    <m/>
    <n v="-236.11111111111131"/>
    <n v="-19.675925925925942"/>
    <m/>
    <s v="Straight line"/>
    <n v="0"/>
    <n v="-4250"/>
    <m/>
    <m/>
    <m/>
    <m/>
    <n v="0"/>
    <n v="0"/>
    <m/>
    <m/>
    <m/>
    <s v="Purchased"/>
    <s v="Own funding"/>
    <m/>
    <s v="S.Zawana"/>
    <m/>
    <m/>
    <m/>
    <m/>
    <m/>
  </r>
  <r>
    <s v="NHC000683"/>
    <s v="Open Plan core business"/>
    <s v="PPE"/>
    <x v="0"/>
    <s v="MOV"/>
    <x v="0"/>
    <s v="OTH"/>
    <x v="0"/>
    <s v="OTH"/>
    <s v="Other Assets"/>
    <s v="Main offices"/>
    <s v="Main offices"/>
    <s v="OTH"/>
    <s v="CHAIR HIGHBACK LEATHER"/>
    <s v="OTH"/>
    <m/>
    <s v="CHAIR HIGHBACK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4 - Poor (11-25%)"/>
    <m/>
    <s v="Actual Cost"/>
    <n v="3850"/>
    <m/>
    <n v="0"/>
    <n v="0"/>
    <n v="0"/>
    <n v="3850"/>
    <n v="213.88888888888869"/>
    <n v="0"/>
    <m/>
    <m/>
    <n v="-3636.1111111111113"/>
    <m/>
    <s v="NO"/>
    <m/>
    <m/>
    <n v="-213.88888888888869"/>
    <n v="-17.824074074074058"/>
    <m/>
    <s v="Straight line"/>
    <n v="0"/>
    <n v="-3850"/>
    <m/>
    <m/>
    <m/>
    <m/>
    <n v="0"/>
    <n v="0"/>
    <m/>
    <m/>
    <m/>
    <s v="Purchased"/>
    <s v="Own funding"/>
    <m/>
    <s v="T. Molema"/>
    <m/>
    <m/>
    <m/>
    <m/>
    <m/>
  </r>
  <r>
    <s v="NHC000699"/>
    <s v="Open Plan finance"/>
    <s v="PPE"/>
    <x v="0"/>
    <s v="MOV"/>
    <x v="0"/>
    <s v="OTH"/>
    <x v="0"/>
    <s v="OTH"/>
    <s v="Other Assets"/>
    <s v="Main offices"/>
    <s v="Main offices"/>
    <s v="OTH"/>
    <s v="CHAIR HIGHBACK LEATHER"/>
    <s v="OTH"/>
    <m/>
    <s v="CHAIR HIGHBACK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4250"/>
    <m/>
    <n v="0"/>
    <n v="0"/>
    <n v="0"/>
    <n v="4250"/>
    <n v="236.11111111111131"/>
    <n v="0"/>
    <m/>
    <m/>
    <n v="-4013.8888888888887"/>
    <m/>
    <s v="NO"/>
    <m/>
    <m/>
    <n v="-236.11111111111131"/>
    <n v="-19.675925925925942"/>
    <m/>
    <s v="Straight line"/>
    <n v="0"/>
    <n v="-4250"/>
    <m/>
    <m/>
    <m/>
    <m/>
    <n v="0"/>
    <n v="0"/>
    <m/>
    <m/>
    <m/>
    <s v="Purchased"/>
    <s v="Own funding"/>
    <m/>
    <s v="BN Ramapuputla "/>
    <m/>
    <m/>
    <m/>
    <m/>
    <m/>
  </r>
  <r>
    <s v="NHC000650"/>
    <s v="Open Plan Risk"/>
    <s v="PPE"/>
    <x v="0"/>
    <s v="MOV"/>
    <x v="0"/>
    <s v="OTH"/>
    <x v="0"/>
    <s v="OTH"/>
    <s v="Other Assets"/>
    <s v="Main offices"/>
    <s v="Main offices"/>
    <s v="OTH"/>
    <s v="CUPBOARD"/>
    <s v="OTH"/>
    <m/>
    <s v="CUPBOARD"/>
    <s v="Cost Model"/>
    <s v="Owned"/>
    <s v="Core"/>
    <x v="0"/>
    <s v="Finance and Administration : Asset Management"/>
    <s v="FX005002001000000000000000000000000"/>
    <s v="IA002015001018001001000000000000000000"/>
    <n v="1"/>
    <s v="01/03/2013"/>
    <d v="2013-03-0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593.5"/>
    <m/>
    <n v="0"/>
    <n v="0"/>
    <n v="0"/>
    <n v="2593.5"/>
    <n v="144.08333333333303"/>
    <n v="0"/>
    <m/>
    <m/>
    <n v="-2449.416666666667"/>
    <m/>
    <s v="NO"/>
    <m/>
    <m/>
    <n v="-144.08333333333303"/>
    <n v="-12.00694444444442"/>
    <m/>
    <s v="Straight line"/>
    <n v="0"/>
    <n v="-2593.5"/>
    <m/>
    <m/>
    <m/>
    <m/>
    <n v="0"/>
    <n v="0"/>
    <m/>
    <m/>
    <m/>
    <s v="Purchased"/>
    <s v="Own funding"/>
    <m/>
    <s v="A.Hlatshwayo"/>
    <m/>
    <m/>
    <m/>
    <m/>
    <m/>
  </r>
  <r>
    <s v="NHC000651"/>
    <s v="Open plan Risk"/>
    <s v="PPE"/>
    <x v="0"/>
    <s v="MOV"/>
    <x v="0"/>
    <s v="OTH"/>
    <x v="0"/>
    <s v="OTH"/>
    <s v="Other Assets"/>
    <s v="Main offices"/>
    <s v="Main offices"/>
    <s v="OTH"/>
    <s v="DESK WITH DRAWERS"/>
    <s v="OTH"/>
    <m/>
    <s v="DESK WITH DRAWERS"/>
    <s v="Cost Model"/>
    <s v="Owned"/>
    <s v="Core"/>
    <x v="0"/>
    <s v="Finance and Administration : Asset Management"/>
    <s v="FX005002001000000000000000000000000"/>
    <s v="IA002015001018001001000000000000000000"/>
    <n v="1"/>
    <s v="22/03/2013"/>
    <d v="2013-03-22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112.2"/>
    <m/>
    <n v="0"/>
    <n v="0"/>
    <n v="0"/>
    <n v="3112.2"/>
    <n v="172.89999999999964"/>
    <n v="0"/>
    <m/>
    <m/>
    <n v="-2939.3"/>
    <m/>
    <s v="NO"/>
    <m/>
    <m/>
    <n v="-172.89999999999964"/>
    <n v="-14.408333333333303"/>
    <m/>
    <s v="Straight line"/>
    <n v="0"/>
    <n v="-3112.2"/>
    <m/>
    <m/>
    <m/>
    <m/>
    <n v="0"/>
    <n v="0"/>
    <m/>
    <m/>
    <m/>
    <s v="Purchased"/>
    <s v="Own funding"/>
    <m/>
    <s v="G. Hlatshwayo"/>
    <m/>
    <m/>
    <m/>
    <m/>
    <m/>
  </r>
  <r>
    <s v="NHC000946"/>
    <s v="Open Plan core business"/>
    <s v="PPE"/>
    <x v="0"/>
    <s v="MOV"/>
    <x v="0"/>
    <s v="OTH"/>
    <x v="0"/>
    <s v="OTH"/>
    <s v="Other Assets"/>
    <s v="Main offices"/>
    <s v="Main offices"/>
    <s v="OTH"/>
    <s v="Desk with Drawer"/>
    <s v="OTH"/>
    <m/>
    <s v="Desk with Drawer"/>
    <s v="Cost Model"/>
    <s v="Owned"/>
    <s v="Core"/>
    <x v="0"/>
    <s v="Finance and Administration : Asset Management"/>
    <s v="FX005002001000000000000000000000000"/>
    <s v="IA002015001018001001000000000000000000"/>
    <n v="1"/>
    <s v="21/02/2013"/>
    <d v="2013-02-21T00:00:00"/>
    <s v="NO"/>
    <s v="Yes"/>
    <d v="2022-03-31T00:00:00"/>
    <s v="NA - Actual Cost"/>
    <n v="6"/>
    <n v="0"/>
    <n v="0"/>
    <s v="No Change"/>
    <m/>
    <m/>
    <n v="1"/>
    <m/>
    <n v="1"/>
    <n v="0"/>
    <s v="4 - Poor (11-25%)"/>
    <m/>
    <s v="Actual Cost"/>
    <n v="3122.2"/>
    <m/>
    <n v="0"/>
    <n v="0"/>
    <n v="0"/>
    <n v="3122.2"/>
    <n v="173.45555555555529"/>
    <n v="0"/>
    <m/>
    <m/>
    <n v="-2948.7444444444445"/>
    <m/>
    <s v="NO"/>
    <m/>
    <m/>
    <n v="-173.45555555555529"/>
    <n v="-14.454629629629608"/>
    <m/>
    <s v="Straight line"/>
    <n v="0"/>
    <n v="-3122.2"/>
    <m/>
    <m/>
    <m/>
    <m/>
    <n v="0"/>
    <n v="0"/>
    <m/>
    <m/>
    <m/>
    <s v="Purchased"/>
    <s v="Own funding"/>
    <m/>
    <s v="N. Molema"/>
    <m/>
    <m/>
    <m/>
    <m/>
    <m/>
  </r>
  <r>
    <s v="nhc000945"/>
    <s v="Open plan Risk"/>
    <s v="PPE"/>
    <x v="0"/>
    <s v="MOV"/>
    <x v="0"/>
    <s v="OTH"/>
    <x v="0"/>
    <s v="OTH"/>
    <s v="Other Assets"/>
    <s v="Main offices"/>
    <s v="Main offices"/>
    <s v="OTH"/>
    <s v="Cupboards 1500 wood"/>
    <s v="OTH"/>
    <m/>
    <s v="Cupboards 1500 wood"/>
    <s v="Cost Model"/>
    <s v="Owned"/>
    <s v="Core"/>
    <x v="0"/>
    <s v="Finance and Administration : Asset Management"/>
    <s v="FX005002001000000000000000000000000"/>
    <s v="IA002015001018001001000000000000000000"/>
    <n v="1"/>
    <s v="21/02/2013"/>
    <d v="2013-02-2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5187"/>
    <m/>
    <n v="0"/>
    <n v="0"/>
    <n v="0"/>
    <n v="5187"/>
    <n v="288.16666666666606"/>
    <n v="0"/>
    <m/>
    <m/>
    <n v="-4898.8333333333339"/>
    <m/>
    <s v="NO"/>
    <m/>
    <m/>
    <n v="-288.16666666666606"/>
    <n v="-24.01388888888884"/>
    <m/>
    <s v="Straight line"/>
    <n v="0"/>
    <n v="-5187"/>
    <m/>
    <m/>
    <m/>
    <m/>
    <n v="0"/>
    <n v="0"/>
    <m/>
    <m/>
    <m/>
    <s v="Purchased"/>
    <s v="Own funding"/>
    <m/>
    <s v="N.Ngwaila "/>
    <m/>
    <m/>
    <m/>
    <m/>
    <m/>
  </r>
  <r>
    <s v="NHC98"/>
    <s v="R22"/>
    <s v="PPE"/>
    <x v="0"/>
    <s v="MOV"/>
    <x v="0"/>
    <s v="OTH"/>
    <x v="0"/>
    <s v="OTH"/>
    <s v="Other Assets"/>
    <s v="Main offices"/>
    <s v="Main offices"/>
    <s v="OTH"/>
    <s v="Chair visitors"/>
    <s v="OTH"/>
    <m/>
    <s v="Chair visitors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600"/>
    <m/>
    <n v="0"/>
    <n v="0"/>
    <n v="0"/>
    <n v="1600"/>
    <n v="88.888888888888687"/>
    <n v="0"/>
    <m/>
    <m/>
    <n v="-1511.1111111111113"/>
    <m/>
    <s v="NO"/>
    <m/>
    <m/>
    <n v="-88.888888888888687"/>
    <n v="-7.4074074074073906"/>
    <m/>
    <s v="Straight line"/>
    <n v="0"/>
    <n v="-1600"/>
    <m/>
    <m/>
    <m/>
    <m/>
    <n v="0"/>
    <n v="0"/>
    <m/>
    <m/>
    <m/>
    <s v="Purchased"/>
    <s v="Own funding"/>
    <m/>
    <s v="SP. Pudikabekwa"/>
    <m/>
    <m/>
    <m/>
    <m/>
    <m/>
  </r>
  <r>
    <s v="NHC0081"/>
    <s v="Open Plan core business"/>
    <s v="PPE"/>
    <x v="0"/>
    <s v="MOV"/>
    <x v="0"/>
    <s v="OTH"/>
    <x v="0"/>
    <s v="OTH"/>
    <s v="Other Assets"/>
    <s v="Main offices"/>
    <s v="Main offices"/>
    <s v="OTH"/>
    <s v="Coat Hanger"/>
    <s v="OTH"/>
    <m/>
    <s v="Coat Hanger"/>
    <s v="Cost Model"/>
    <s v="Owned"/>
    <s v="Core"/>
    <x v="0"/>
    <s v="Finance and Administration : Asset Management"/>
    <s v="FX005002001000000000000000000000000"/>
    <s v="IA002015001018001001000000000000000000"/>
    <n v="1"/>
    <s v="06/07/2004"/>
    <d v="2004-07-06T00:00:00"/>
    <s v="NO"/>
    <s v="Yes"/>
    <d v="2022-03-31T00:00:00"/>
    <s v="NA - Actual Cost"/>
    <n v="6"/>
    <n v="0"/>
    <n v="0"/>
    <s v="No Change"/>
    <m/>
    <m/>
    <n v="1"/>
    <m/>
    <n v="1"/>
    <n v="0"/>
    <s v="4 - Poor (11-25%)"/>
    <m/>
    <s v="Actual Cost"/>
    <n v="1516.2"/>
    <m/>
    <n v="0"/>
    <n v="0"/>
    <n v="0"/>
    <n v="1516.2"/>
    <n v="84.233333333333348"/>
    <n v="0"/>
    <m/>
    <m/>
    <n v="-1431.9666666666667"/>
    <m/>
    <s v="NO"/>
    <m/>
    <m/>
    <n v="-84.233333333333348"/>
    <n v="-7.0194444444444457"/>
    <m/>
    <s v="Straight line"/>
    <n v="0"/>
    <n v="-1516.2"/>
    <m/>
    <m/>
    <m/>
    <m/>
    <n v="0"/>
    <n v="0"/>
    <m/>
    <m/>
    <m/>
    <s v="Purchased"/>
    <s v="Own funding"/>
    <m/>
    <s v="S.Skenjana"/>
    <m/>
    <m/>
    <m/>
    <m/>
    <m/>
  </r>
  <r>
    <s v="NHC0082"/>
    <s v="R2 Open plan finance "/>
    <s v="PPE"/>
    <x v="0"/>
    <s v="MOV"/>
    <x v="0"/>
    <s v="OTH"/>
    <x v="0"/>
    <s v="OTH"/>
    <s v="Other Assets"/>
    <s v="Main offices"/>
    <s v="Main offices"/>
    <s v="OTH"/>
    <s v="Coat Hanger"/>
    <s v="OTH"/>
    <m/>
    <s v="Coat Hanger"/>
    <s v="Cost Model"/>
    <s v="Owned"/>
    <s v="Core"/>
    <x v="0"/>
    <s v="Finance and Administration : Asset Management"/>
    <s v="FX005002001000000000000000000000000"/>
    <s v="IA002015001018001001000000000000000000"/>
    <n v="1"/>
    <s v="06/07/2004"/>
    <d v="2004-07-0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516.2"/>
    <m/>
    <n v="0"/>
    <n v="0"/>
    <n v="0"/>
    <n v="1516.2"/>
    <n v="84.233333333333348"/>
    <n v="0"/>
    <m/>
    <m/>
    <n v="-1431.9666666666667"/>
    <m/>
    <s v="NO"/>
    <m/>
    <m/>
    <n v="-84.233333333333348"/>
    <n v="-7.0194444444444457"/>
    <m/>
    <s v="Straight line"/>
    <n v="0"/>
    <n v="-1516.2"/>
    <m/>
    <m/>
    <m/>
    <m/>
    <n v="0"/>
    <n v="0"/>
    <m/>
    <m/>
    <m/>
    <s v="Purchased"/>
    <s v="Own funding"/>
    <m/>
    <s v="N. Gawula"/>
    <m/>
    <m/>
    <m/>
    <m/>
    <m/>
  </r>
  <r>
    <s v="NHC143"/>
    <s v="R9 executive offices "/>
    <s v="PPE"/>
    <x v="0"/>
    <s v="MOV"/>
    <x v="0"/>
    <s v="OTH"/>
    <x v="0"/>
    <s v="OTH"/>
    <s v="Other Assets"/>
    <s v="Main offices"/>
    <s v="Main offices"/>
    <s v="OTH"/>
    <s v="Coat Hanger"/>
    <s v="OTH"/>
    <m/>
    <s v="Coat Hanger"/>
    <s v="Cost Model"/>
    <s v="Owned"/>
    <s v="Core"/>
    <x v="0"/>
    <s v="Finance and Administration : Asset Management"/>
    <s v="FX005002001000000000000000000000000"/>
    <s v="IA002015001018001001000000000000000000"/>
    <n v="1"/>
    <s v="06/07/2004"/>
    <d v="2004-07-0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516.2"/>
    <m/>
    <n v="0"/>
    <n v="0"/>
    <n v="0"/>
    <n v="1516.2"/>
    <n v="84.233333333333348"/>
    <n v="0"/>
    <m/>
    <m/>
    <n v="-1431.9666666666667"/>
    <m/>
    <s v="NO"/>
    <m/>
    <m/>
    <n v="-84.233333333333348"/>
    <n v="-7.0194444444444457"/>
    <m/>
    <s v="Straight line"/>
    <n v="0"/>
    <n v="-1516.2"/>
    <m/>
    <m/>
    <m/>
    <m/>
    <n v="0"/>
    <n v="0"/>
    <m/>
    <m/>
    <m/>
    <s v="Purchased"/>
    <s v="Own funding"/>
    <m/>
    <s v="P. Kadi"/>
    <m/>
    <m/>
    <m/>
    <m/>
    <m/>
  </r>
  <r>
    <s v="NHC169"/>
    <s v="R13 ceo office "/>
    <s v="PPE"/>
    <x v="0"/>
    <s v="MOV"/>
    <x v="0"/>
    <s v="OTH"/>
    <x v="0"/>
    <s v="OTH"/>
    <s v="Other Assets"/>
    <s v="Main offices"/>
    <s v="Main offices"/>
    <s v="OTH"/>
    <s v="Coat Hanger"/>
    <s v="OTH"/>
    <m/>
    <s v="Coat Hanger"/>
    <s v="Cost Model"/>
    <s v="Owned"/>
    <s v="Core"/>
    <x v="0"/>
    <s v="Finance and Administration : Asset Management"/>
    <s v="FX005002001000000000000000000000000"/>
    <s v="IA002015001018001001000000000000000000"/>
    <n v="1"/>
    <s v="06/07/2004"/>
    <d v="2004-07-0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516.2"/>
    <m/>
    <n v="0"/>
    <n v="0"/>
    <n v="0"/>
    <n v="1516.2"/>
    <n v="84.233333333333348"/>
    <n v="0"/>
    <m/>
    <m/>
    <n v="-1431.9666666666667"/>
    <m/>
    <s v="NO"/>
    <m/>
    <m/>
    <n v="-84.233333333333348"/>
    <n v="-7.0194444444444457"/>
    <m/>
    <s v="Straight line"/>
    <n v="0"/>
    <n v="-1516.2"/>
    <m/>
    <m/>
    <m/>
    <m/>
    <n v="0"/>
    <n v="0"/>
    <m/>
    <m/>
    <m/>
    <s v="Purchased"/>
    <s v="Own funding"/>
    <m/>
    <s v="T. Manetsi"/>
    <m/>
    <m/>
    <m/>
    <m/>
    <m/>
  </r>
  <r>
    <s v="NHC122"/>
    <s v="R10 executive offices "/>
    <s v="PPE"/>
    <x v="0"/>
    <s v="MOV"/>
    <x v="0"/>
    <s v="OTH"/>
    <x v="0"/>
    <s v="OTH"/>
    <s v="Other Assets"/>
    <s v="Main offices"/>
    <s v="Main offices"/>
    <s v="OTH"/>
    <s v="Cabinet"/>
    <s v="OTH"/>
    <m/>
    <s v="Cabinet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804.4"/>
    <m/>
    <n v="0"/>
    <n v="0"/>
    <n v="0"/>
    <n v="2804.4"/>
    <n v="155.79999999999973"/>
    <n v="0"/>
    <m/>
    <m/>
    <n v="-2648.6000000000004"/>
    <m/>
    <s v="NO"/>
    <m/>
    <m/>
    <n v="-155.79999999999973"/>
    <n v="-12.983333333333311"/>
    <m/>
    <s v="Straight line"/>
    <n v="0"/>
    <n v="-2804.4"/>
    <m/>
    <m/>
    <m/>
    <m/>
    <n v="0"/>
    <n v="0"/>
    <m/>
    <m/>
    <m/>
    <s v="Purchased"/>
    <s v="Own funding"/>
    <m/>
    <s v="M. Chamane"/>
    <m/>
    <m/>
    <m/>
    <m/>
    <m/>
  </r>
  <r>
    <s v="NHC121"/>
    <s v="Open plan co-Business"/>
    <s v="PPE"/>
    <x v="0"/>
    <s v="MOV"/>
    <x v="0"/>
    <s v="OTH"/>
    <x v="0"/>
    <s v="OTH"/>
    <s v="Other Assets"/>
    <s v="Main offices"/>
    <s v="Main offices"/>
    <s v="OTH"/>
    <s v="Cabinet"/>
    <s v="OTH"/>
    <m/>
    <s v="Cabinet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4 - Poor (11-25%)"/>
    <m/>
    <s v="Actual Cost"/>
    <n v="2804.4"/>
    <m/>
    <n v="0"/>
    <n v="0"/>
    <n v="0"/>
    <n v="2804.4"/>
    <n v="155.79999999999973"/>
    <n v="0"/>
    <m/>
    <m/>
    <n v="-2648.6000000000004"/>
    <m/>
    <s v="NO"/>
    <m/>
    <m/>
    <n v="-155.79999999999973"/>
    <n v="-12.983333333333311"/>
    <m/>
    <s v="Straight line"/>
    <n v="0"/>
    <n v="-2804.4"/>
    <m/>
    <m/>
    <m/>
    <m/>
    <n v="0"/>
    <n v="0"/>
    <m/>
    <m/>
    <m/>
    <s v="Purchased"/>
    <s v="Own funding"/>
    <m/>
    <s v="G. Mdluli"/>
    <m/>
    <m/>
    <m/>
    <m/>
    <m/>
  </r>
  <r>
    <s v="NHC000476"/>
    <s v="Open plan Office "/>
    <s v="PPE"/>
    <x v="0"/>
    <s v="MOV"/>
    <x v="0"/>
    <s v="OTH"/>
    <x v="0"/>
    <s v="OTH"/>
    <s v="Other Assets"/>
    <s v="Main offices"/>
    <s v="Main offices"/>
    <s v="OTH"/>
    <s v="Black Cabinet"/>
    <s v="OTH"/>
    <m/>
    <s v="Black Cabinet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804.4"/>
    <m/>
    <n v="0"/>
    <n v="0"/>
    <n v="0"/>
    <n v="2804.4"/>
    <n v="155.79999999999973"/>
    <n v="0"/>
    <m/>
    <m/>
    <n v="-2648.6000000000004"/>
    <m/>
    <s v="NO"/>
    <m/>
    <m/>
    <n v="-155.79999999999973"/>
    <n v="-12.983333333333311"/>
    <m/>
    <s v="Straight line"/>
    <n v="0"/>
    <n v="-2804.4"/>
    <m/>
    <m/>
    <m/>
    <m/>
    <n v="0"/>
    <n v="0"/>
    <m/>
    <m/>
    <m/>
    <s v="Purchased"/>
    <s v="Own funding"/>
    <m/>
    <s v="B.N. Ramapuputla"/>
    <m/>
    <m/>
    <m/>
    <m/>
    <m/>
  </r>
  <r>
    <s v="NHC000517"/>
    <s v="R1 Open plan finance "/>
    <s v="PPE"/>
    <x v="0"/>
    <s v="MOV"/>
    <x v="0"/>
    <s v="OTH"/>
    <x v="0"/>
    <s v="OTH"/>
    <s v="Other Assets"/>
    <s v="Main offices"/>
    <s v="Main offices"/>
    <s v="OTH"/>
    <s v="Hinged Door Cabinet"/>
    <s v="OTH"/>
    <m/>
    <s v="Hinged Door Cabinet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804.4"/>
    <m/>
    <n v="0"/>
    <n v="0"/>
    <n v="0"/>
    <n v="2804.4"/>
    <n v="155.79999999999973"/>
    <n v="0"/>
    <m/>
    <m/>
    <n v="-2648.6000000000004"/>
    <m/>
    <s v="NO"/>
    <m/>
    <m/>
    <n v="-155.79999999999973"/>
    <n v="-12.983333333333311"/>
    <m/>
    <s v="Straight line"/>
    <n v="0"/>
    <n v="-2804.4"/>
    <m/>
    <m/>
    <m/>
    <m/>
    <n v="0"/>
    <n v="0"/>
    <m/>
    <m/>
    <m/>
    <s v="Purchased"/>
    <s v="Own funding"/>
    <m/>
    <s v="S.Buthelezi"/>
    <m/>
    <m/>
    <m/>
    <m/>
    <m/>
  </r>
  <r>
    <s v="NHC103"/>
    <s v="R10 executive office"/>
    <s v="PPE"/>
    <x v="0"/>
    <s v="MOV"/>
    <x v="0"/>
    <s v="OTH"/>
    <x v="0"/>
    <s v="OTH"/>
    <s v="Other Assets"/>
    <s v="Main offices"/>
    <s v="Main offices"/>
    <s v="OTH"/>
    <s v="3drawer Pedestal"/>
    <s v="OTH"/>
    <m/>
    <s v="3drawer Pedestal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888.75"/>
    <m/>
    <n v="0"/>
    <n v="0"/>
    <n v="0"/>
    <n v="1888.75"/>
    <n v="104.93055555555566"/>
    <n v="0"/>
    <m/>
    <m/>
    <n v="-1783.8194444444443"/>
    <m/>
    <s v="NO"/>
    <m/>
    <m/>
    <n v="-104.93055555555566"/>
    <n v="-8.7442129629629708"/>
    <m/>
    <s v="Straight line"/>
    <n v="0"/>
    <n v="-1888.75"/>
    <m/>
    <m/>
    <m/>
    <m/>
    <n v="0"/>
    <n v="0"/>
    <m/>
    <m/>
    <m/>
    <s v="Purchased"/>
    <s v="Own funding"/>
    <m/>
    <s v="M Chamane"/>
    <m/>
    <m/>
    <m/>
    <m/>
    <m/>
  </r>
  <r>
    <s v="NHC 000551"/>
    <s v="R15 executive offices "/>
    <s v="PPE"/>
    <x v="0"/>
    <s v="MOV"/>
    <x v="0"/>
    <s v="OTH"/>
    <x v="0"/>
    <s v="OTH"/>
    <s v="Other Assets"/>
    <s v="Main offices"/>
    <s v="Main offices"/>
    <s v="OTH"/>
    <s v="Hinged Door Cabinet"/>
    <s v="OTH"/>
    <m/>
    <s v="Hinged Door Cabinet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804.4"/>
    <m/>
    <n v="0"/>
    <n v="0"/>
    <n v="0"/>
    <n v="2804.4"/>
    <n v="155.79999999999973"/>
    <n v="0"/>
    <m/>
    <m/>
    <n v="-2648.6000000000004"/>
    <m/>
    <s v="NO"/>
    <m/>
    <m/>
    <n v="-155.79999999999973"/>
    <n v="-12.983333333333311"/>
    <m/>
    <s v="Straight line"/>
    <n v="0"/>
    <n v="-2804.4"/>
    <m/>
    <m/>
    <m/>
    <m/>
    <n v="0"/>
    <n v="0"/>
    <m/>
    <m/>
    <m/>
    <s v="Purchased"/>
    <s v="Own funding"/>
    <m/>
    <s v="C. VAN Huyssteen"/>
    <m/>
    <m/>
    <m/>
    <m/>
    <m/>
  </r>
  <r>
    <s v="NHC0096"/>
    <s v="Open plan Risk"/>
    <s v="PPE"/>
    <x v="0"/>
    <s v="MOV"/>
    <x v="0"/>
    <s v="OTH"/>
    <x v="0"/>
    <s v="OTH"/>
    <s v="Other Assets"/>
    <s v="Main offices"/>
    <s v="Main offices"/>
    <s v="OTH"/>
    <s v="Rhodes Swivel Chair-Antique Leather"/>
    <s v="OTH"/>
    <m/>
    <s v="Rhodes Swivel Chair-Antique Leather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6091.15"/>
    <m/>
    <n v="0"/>
    <n v="0"/>
    <n v="0"/>
    <n v="6091.15"/>
    <n v="338.3972222222219"/>
    <n v="0"/>
    <m/>
    <m/>
    <n v="-5752.7527777777777"/>
    <m/>
    <s v="NO"/>
    <m/>
    <m/>
    <n v="-338.3972222222219"/>
    <n v="-28.199768518518493"/>
    <m/>
    <s v="Straight line"/>
    <n v="0"/>
    <n v="-6091.15"/>
    <m/>
    <m/>
    <m/>
    <m/>
    <n v="0"/>
    <n v="0"/>
    <m/>
    <m/>
    <m/>
    <s v="Purchased"/>
    <s v="Own funding"/>
    <m/>
    <s v="Z. Sithole"/>
    <m/>
    <m/>
    <m/>
    <m/>
    <m/>
  </r>
  <r>
    <s v="NHC118"/>
    <s v="R3 Open plan finance "/>
    <s v="PPE"/>
    <x v="0"/>
    <s v="MOV"/>
    <x v="0"/>
    <s v="OTH"/>
    <x v="0"/>
    <s v="OTH"/>
    <s v="Other Assets"/>
    <s v="Main offices"/>
    <s v="Main offices"/>
    <s v="OTH"/>
    <s v="Coat Hanger"/>
    <s v="OTH"/>
    <m/>
    <s v="Coat Hanger"/>
    <s v="Cost Model"/>
    <s v="Owned"/>
    <s v="Core"/>
    <x v="0"/>
    <s v="Finance and Administration : Asset Management"/>
    <s v="FX005002001000000000000000000000000"/>
    <s v="IA002015001018001001000000000000000000"/>
    <n v="1"/>
    <s v="06/07/2004"/>
    <d v="2004-07-0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516.2"/>
    <m/>
    <n v="0"/>
    <n v="0"/>
    <n v="0"/>
    <n v="1516.2"/>
    <n v="84.233333333333348"/>
    <n v="0"/>
    <m/>
    <m/>
    <n v="-1431.9666666666667"/>
    <m/>
    <s v="NO"/>
    <m/>
    <m/>
    <n v="-84.233333333333348"/>
    <n v="-7.0194444444444457"/>
    <m/>
    <s v="Straight line"/>
    <n v="0"/>
    <n v="-1516.2"/>
    <m/>
    <m/>
    <m/>
    <m/>
    <n v="0"/>
    <n v="0"/>
    <m/>
    <m/>
    <m/>
    <s v="Purchased"/>
    <s v="Own funding"/>
    <m/>
    <s v="M. MANENZHE"/>
    <m/>
    <m/>
    <m/>
    <m/>
    <m/>
  </r>
  <r>
    <s v="NHC166"/>
    <s v="R13 CEO Offce"/>
    <s v="PPE"/>
    <x v="0"/>
    <s v="MOV"/>
    <x v="0"/>
    <s v="OTH"/>
    <x v="0"/>
    <s v="OTH"/>
    <s v="Other Assets"/>
    <s v="Main offices"/>
    <s v="Main offices"/>
    <s v="OTH"/>
    <s v="Rhodes Executive Swivel Chair-Antique leather"/>
    <s v="OTH"/>
    <m/>
    <s v="Rhodes Executive Swivel Chair-Antique leather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6091.15"/>
    <m/>
    <n v="0"/>
    <n v="0"/>
    <n v="0"/>
    <n v="6091.15"/>
    <n v="338.3972222222219"/>
    <n v="0"/>
    <m/>
    <m/>
    <n v="-5752.7527777777777"/>
    <m/>
    <s v="NO"/>
    <m/>
    <m/>
    <n v="-338.3972222222219"/>
    <n v="-28.199768518518493"/>
    <m/>
    <s v="Straight line"/>
    <n v="0"/>
    <n v="-6091.15"/>
    <m/>
    <m/>
    <m/>
    <m/>
    <n v="0"/>
    <n v="0"/>
    <m/>
    <m/>
    <m/>
    <s v="Purchased"/>
    <s v="Own funding"/>
    <m/>
    <s v="T. Manetsi"/>
    <m/>
    <m/>
    <m/>
    <m/>
    <m/>
  </r>
  <r>
    <s v="NHC000141"/>
    <s v="R29"/>
    <s v="PPE"/>
    <x v="0"/>
    <s v="MOV"/>
    <x v="0"/>
    <s v="OTH"/>
    <x v="0"/>
    <s v="OTH"/>
    <s v="Other Assets"/>
    <s v="Main offices"/>
    <s v="Main offices"/>
    <s v="OTH"/>
    <s v="1800*600mmL Extension"/>
    <s v="OTH"/>
    <m/>
    <s v="1800*600mmL Extension"/>
    <s v="Cost Model"/>
    <s v="Owned"/>
    <s v="Core"/>
    <x v="0"/>
    <s v="Finance and Administration : Asset Management"/>
    <s v="FX005002001000000000000000000000000"/>
    <s v="IA002015001018001001000000000000000000"/>
    <n v="1"/>
    <s v="31/07/2009"/>
    <d v="2009-07-3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5130"/>
    <m/>
    <n v="0"/>
    <n v="0"/>
    <n v="0"/>
    <n v="5130"/>
    <n v="285"/>
    <n v="0"/>
    <m/>
    <m/>
    <n v="-4845"/>
    <m/>
    <s v="NO"/>
    <m/>
    <m/>
    <n v="-285"/>
    <n v="-23.75"/>
    <m/>
    <s v="Straight line"/>
    <n v="0"/>
    <n v="-5130"/>
    <m/>
    <m/>
    <m/>
    <m/>
    <n v="0"/>
    <n v="0"/>
    <m/>
    <m/>
    <m/>
    <s v="Purchased"/>
    <s v="Own funding"/>
    <m/>
    <s v="A. Mulaudzi"/>
    <m/>
    <m/>
    <m/>
    <m/>
    <m/>
  </r>
  <r>
    <s v="NHC000739"/>
    <s v="R4 Main Board room"/>
    <s v="PPE"/>
    <x v="0"/>
    <s v="MOV"/>
    <x v="0"/>
    <s v="OTH"/>
    <x v="0"/>
    <s v="OTH"/>
    <s v="Other Assets"/>
    <s v="Main offices"/>
    <s v="Main offices"/>
    <s v="OTH"/>
    <s v="Vulcan Fire Getone Chair"/>
    <s v="OTH"/>
    <m/>
    <s v="Vulcan Fire Getone Chair"/>
    <s v="Cost Model"/>
    <s v="Owned"/>
    <s v="Core"/>
    <x v="0"/>
    <s v="Finance and Administration : Asset Management"/>
    <s v="FX005002001000000000000000000000000"/>
    <s v="IA002015001018001001000000000000000000"/>
    <n v="1"/>
    <s v="01/05/2015"/>
    <d v="2015-05-0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967.2"/>
    <m/>
    <n v="0"/>
    <n v="0"/>
    <n v="0"/>
    <n v="3967.2"/>
    <n v="220.39999999999964"/>
    <n v="0"/>
    <m/>
    <m/>
    <n v="-3746.8"/>
    <m/>
    <s v="NO"/>
    <m/>
    <m/>
    <n v="-220.39999999999964"/>
    <n v="-18.366666666666635"/>
    <m/>
    <s v="Straight line"/>
    <n v="0"/>
    <n v="-3967.2"/>
    <m/>
    <m/>
    <m/>
    <m/>
    <n v="0"/>
    <n v="0"/>
    <m/>
    <m/>
    <m/>
    <s v="Purchased"/>
    <s v="Own funding"/>
    <m/>
    <s v="S.Skenjana"/>
    <m/>
    <m/>
    <m/>
    <m/>
    <m/>
  </r>
  <r>
    <s v="NHC000742"/>
    <n v="0"/>
    <s v="PPE"/>
    <x v="0"/>
    <s v="MOV"/>
    <x v="0"/>
    <s v="OTH"/>
    <x v="0"/>
    <s v="OTH"/>
    <s v="Other Assets"/>
    <s v="Main offices"/>
    <s v="Main offices"/>
    <s v="OTH"/>
    <s v="Boardroom Table"/>
    <s v="OTH"/>
    <m/>
    <s v="Boardroom Table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28428.53"/>
    <m/>
    <n v="0"/>
    <n v="0"/>
    <n v="0"/>
    <n v="28428.53"/>
    <n v="1579.3627777777801"/>
    <n v="0"/>
    <m/>
    <m/>
    <n v="-26849.167222222219"/>
    <m/>
    <s v="NO"/>
    <m/>
    <m/>
    <n v="-1579.3627777777801"/>
    <n v="-131.61356481481502"/>
    <m/>
    <s v="Straight line"/>
    <n v="0"/>
    <n v="-28428.53"/>
    <m/>
    <m/>
    <m/>
    <m/>
    <n v="0"/>
    <n v="0"/>
    <m/>
    <m/>
    <m/>
    <s v="Purchased"/>
    <s v="Own funding"/>
    <m/>
    <n v="0"/>
    <m/>
    <m/>
    <m/>
    <m/>
    <m/>
  </r>
  <r>
    <s v="NHC000988"/>
    <s v="R4 main boardroom "/>
    <s v="PPE"/>
    <x v="0"/>
    <s v="MOV"/>
    <x v="0"/>
    <s v="OTH"/>
    <x v="0"/>
    <s v="OTH"/>
    <s v="Other Assets"/>
    <s v="Main offices"/>
    <s v="Main offices"/>
    <s v="OTH"/>
    <s v="Espresso Mobile Server"/>
    <s v="OTH"/>
    <m/>
    <s v="Espresso Mobile Serv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9669.02"/>
    <m/>
    <n v="0"/>
    <n v="0"/>
    <n v="0"/>
    <n v="9669.02"/>
    <n v="537.16777777777679"/>
    <n v="0"/>
    <m/>
    <m/>
    <n v="-9131.8522222222236"/>
    <m/>
    <s v="NO"/>
    <m/>
    <m/>
    <n v="-537.16777777777679"/>
    <n v="-44.763981481481402"/>
    <m/>
    <s v="Straight line"/>
    <n v="0"/>
    <n v="-9669.02"/>
    <m/>
    <m/>
    <m/>
    <m/>
    <n v="0"/>
    <n v="0"/>
    <m/>
    <m/>
    <m/>
    <s v="Purchased"/>
    <s v="Own funding"/>
    <m/>
    <s v="S. Skenjana"/>
    <m/>
    <m/>
    <m/>
    <m/>
    <m/>
  </r>
  <r>
    <s v="NHC000987"/>
    <s v="R4 Board room "/>
    <s v="PPE"/>
    <x v="0"/>
    <s v="MOV"/>
    <x v="0"/>
    <s v="OTH"/>
    <x v="0"/>
    <s v="OTH"/>
    <s v="Other Assets"/>
    <s v="Main offices"/>
    <s v="Main offices"/>
    <s v="OTH"/>
    <s v="Domino Training Table"/>
    <s v="OTH"/>
    <m/>
    <s v="Domino Training Table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956.8"/>
    <m/>
    <n v="0"/>
    <n v="0"/>
    <n v="0"/>
    <n v="3956.8"/>
    <n v="219.82222222222208"/>
    <n v="0"/>
    <m/>
    <m/>
    <n v="-3736.9777777777781"/>
    <m/>
    <s v="NO"/>
    <m/>
    <m/>
    <n v="-219.82222222222208"/>
    <n v="-18.318518518518506"/>
    <m/>
    <s v="Straight line"/>
    <n v="0"/>
    <n v="-3956.8"/>
    <m/>
    <m/>
    <m/>
    <m/>
    <n v="0"/>
    <n v="0"/>
    <m/>
    <m/>
    <m/>
    <s v="Purchased"/>
    <s v="Own funding"/>
    <m/>
    <s v="S. Skenjana"/>
    <m/>
    <m/>
    <m/>
    <m/>
    <m/>
  </r>
  <r>
    <s v="NHC000731"/>
    <s v="R4 Main Boardroom"/>
    <s v="PPE"/>
    <x v="0"/>
    <s v="MOV"/>
    <x v="0"/>
    <s v="OTH"/>
    <x v="0"/>
    <s v="OTH"/>
    <s v="Other Assets"/>
    <s v="Main offices"/>
    <s v="Main offices"/>
    <s v="OTH"/>
    <s v="Domino Training Table"/>
    <s v="OTH"/>
    <m/>
    <s v="Domino Training Table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3956.8"/>
    <m/>
    <n v="0"/>
    <n v="0"/>
    <n v="0"/>
    <n v="3956.8"/>
    <n v="219.82222222222208"/>
    <n v="0"/>
    <m/>
    <m/>
    <n v="-3736.9777777777781"/>
    <m/>
    <s v="NO"/>
    <m/>
    <m/>
    <n v="-219.82222222222208"/>
    <n v="-18.318518518518506"/>
    <m/>
    <s v="Straight line"/>
    <n v="0"/>
    <n v="-3956.8"/>
    <m/>
    <m/>
    <m/>
    <m/>
    <n v="0"/>
    <n v="0"/>
    <m/>
    <m/>
    <m/>
    <s v="Purchased"/>
    <s v="Own funding"/>
    <m/>
    <s v="S. Skenjana"/>
    <m/>
    <m/>
    <m/>
    <m/>
    <m/>
  </r>
  <r>
    <s v="NHC000722"/>
    <s v="R3 Open plan finance "/>
    <s v="PPE"/>
    <x v="0"/>
    <s v="MOV"/>
    <x v="0"/>
    <s v="OTH"/>
    <x v="0"/>
    <s v="OTH"/>
    <s v="Other Assets"/>
    <s v="Main offices"/>
    <s v="Main offices"/>
    <s v="OTH"/>
    <s v="High Street Visitors Chair Black Bonded Leather"/>
    <s v="OTH"/>
    <m/>
    <s v="High Street Visitors Chair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8.86"/>
    <m/>
    <n v="0"/>
    <n v="0"/>
    <n v="0"/>
    <n v="2278.86"/>
    <n v="126.60333333333347"/>
    <n v="0"/>
    <m/>
    <m/>
    <n v="-2152.2566666666667"/>
    <m/>
    <s v="NO"/>
    <m/>
    <m/>
    <n v="-126.60333333333347"/>
    <n v="-10.550277777777788"/>
    <m/>
    <s v="Straight line"/>
    <n v="0"/>
    <n v="-2278.86"/>
    <m/>
    <m/>
    <m/>
    <m/>
    <n v="0"/>
    <n v="0"/>
    <m/>
    <m/>
    <m/>
    <s v="Purchased"/>
    <s v="Own funding"/>
    <m/>
    <s v="M. MANENZHE"/>
    <m/>
    <m/>
    <m/>
    <m/>
    <m/>
  </r>
  <r>
    <s v="NHC000768"/>
    <s v="R4 main boardroom "/>
    <s v="PPE"/>
    <x v="0"/>
    <s v="MOV"/>
    <x v="0"/>
    <s v="OTH"/>
    <x v="0"/>
    <s v="OTH"/>
    <s v="Other Assets"/>
    <s v="Main offices"/>
    <s v="Main offices"/>
    <s v="OTH"/>
    <s v="High Street Visitors Chair Black Bonded Leather"/>
    <s v="OTH"/>
    <m/>
    <s v="High Street Visitors Chair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8.86"/>
    <m/>
    <n v="0"/>
    <n v="0"/>
    <n v="0"/>
    <n v="2278.86"/>
    <n v="126.60333333333347"/>
    <n v="0"/>
    <m/>
    <m/>
    <n v="-2152.2566666666667"/>
    <m/>
    <s v="NO"/>
    <m/>
    <m/>
    <n v="-126.60333333333347"/>
    <n v="-10.550277777777788"/>
    <m/>
    <s v="Straight line"/>
    <n v="0"/>
    <n v="-2278.86"/>
    <m/>
    <m/>
    <m/>
    <m/>
    <n v="0"/>
    <n v="0"/>
    <m/>
    <m/>
    <m/>
    <s v="Purchased"/>
    <s v="Own funding"/>
    <m/>
    <s v="S. Skenjana"/>
    <m/>
    <m/>
    <m/>
    <m/>
    <m/>
  </r>
  <r>
    <s v="NHC000754"/>
    <s v="R4 Main Boardroom"/>
    <s v="PPE"/>
    <x v="0"/>
    <s v="MOV"/>
    <x v="0"/>
    <s v="OTH"/>
    <x v="0"/>
    <s v="OTH"/>
    <s v="Other Assets"/>
    <s v="Main offices"/>
    <s v="Main offices"/>
    <s v="OTH"/>
    <s v="High Street Visitors Chair Black Bonded Leather"/>
    <s v="OTH"/>
    <m/>
    <s v="High Street Visitors Chair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8.86"/>
    <m/>
    <n v="0"/>
    <n v="0"/>
    <n v="0"/>
    <n v="2278.86"/>
    <n v="126.60333333333347"/>
    <n v="0"/>
    <m/>
    <m/>
    <n v="-2152.2566666666667"/>
    <m/>
    <s v="NO"/>
    <m/>
    <m/>
    <n v="-126.60333333333347"/>
    <n v="-10.550277777777788"/>
    <m/>
    <s v="Straight line"/>
    <n v="0"/>
    <n v="-2278.86"/>
    <m/>
    <m/>
    <m/>
    <m/>
    <n v="0"/>
    <n v="0"/>
    <m/>
    <m/>
    <m/>
    <s v="Purchased"/>
    <s v="Own funding"/>
    <m/>
    <s v="S. Skenjana"/>
    <m/>
    <m/>
    <m/>
    <m/>
    <m/>
  </r>
  <r>
    <s v="NHC000734"/>
    <s v="R4 Board room "/>
    <s v="PPE"/>
    <x v="0"/>
    <s v="MOV"/>
    <x v="0"/>
    <s v="OTH"/>
    <x v="0"/>
    <s v="OTH"/>
    <s v="Other Assets"/>
    <s v="Main offices"/>
    <s v="Main offices"/>
    <s v="OTH"/>
    <s v="High Street Visitors Chair Black Bonded Leather"/>
    <s v="OTH"/>
    <m/>
    <s v="High Street Visitors Chair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8.86"/>
    <m/>
    <n v="0"/>
    <n v="0"/>
    <n v="0"/>
    <n v="2278.86"/>
    <n v="126.60333333333347"/>
    <n v="0"/>
    <m/>
    <m/>
    <n v="-2152.2566666666667"/>
    <m/>
    <s v="NO"/>
    <m/>
    <m/>
    <n v="-126.60333333333347"/>
    <n v="-10.550277777777788"/>
    <m/>
    <s v="Straight line"/>
    <n v="0"/>
    <n v="-2278.86"/>
    <m/>
    <m/>
    <m/>
    <m/>
    <n v="0"/>
    <n v="0"/>
    <m/>
    <m/>
    <m/>
    <s v="Purchased"/>
    <s v="Own funding"/>
    <m/>
    <s v="S. Skenjana"/>
    <m/>
    <m/>
    <m/>
    <m/>
    <m/>
  </r>
  <r>
    <s v="NHC000707"/>
    <s v="R4 main boardroom "/>
    <s v="PPE"/>
    <x v="0"/>
    <s v="MOV"/>
    <x v="0"/>
    <s v="OTH"/>
    <x v="0"/>
    <s v="OTH"/>
    <s v="Other Assets"/>
    <s v="Main offices"/>
    <s v="Main offices"/>
    <s v="OTH"/>
    <s v="High Street Visitors Chair Black Bonded Leather"/>
    <s v="OTH"/>
    <m/>
    <s v="High Street Visitors Chair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8.86"/>
    <m/>
    <n v="0"/>
    <n v="0"/>
    <n v="0"/>
    <n v="2278.86"/>
    <n v="126.60333333333347"/>
    <n v="0"/>
    <m/>
    <m/>
    <n v="-2152.2566666666667"/>
    <m/>
    <s v="NO"/>
    <m/>
    <m/>
    <n v="-126.60333333333347"/>
    <n v="-10.550277777777788"/>
    <m/>
    <s v="Straight line"/>
    <n v="0"/>
    <n v="-2278.86"/>
    <m/>
    <m/>
    <m/>
    <m/>
    <n v="0"/>
    <n v="0"/>
    <m/>
    <m/>
    <m/>
    <s v="Purchased"/>
    <s v="Own funding"/>
    <m/>
    <s v="S. Skenjana"/>
    <m/>
    <m/>
    <m/>
    <m/>
    <m/>
  </r>
  <r>
    <s v="NHC000930"/>
    <s v="R5 executive office"/>
    <s v="PPE"/>
    <x v="0"/>
    <s v="MOV"/>
    <x v="0"/>
    <s v="OTH"/>
    <x v="0"/>
    <s v="OTH"/>
    <s v="Other Assets"/>
    <s v="Main offices"/>
    <s v="Main offices"/>
    <s v="OTH"/>
    <s v="High Street Visitors Chair Black Bonded Leather"/>
    <s v="OTH"/>
    <m/>
    <s v="High Street Visitors Chair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8.86"/>
    <m/>
    <n v="0"/>
    <n v="0"/>
    <n v="0"/>
    <n v="2278.86"/>
    <n v="126.60333333333347"/>
    <n v="0"/>
    <m/>
    <m/>
    <n v="-2152.2566666666667"/>
    <m/>
    <s v="NO"/>
    <m/>
    <m/>
    <n v="-126.60333333333347"/>
    <n v="-10.550277777777788"/>
    <m/>
    <s v="Straight line"/>
    <n v="0"/>
    <n v="-2278.86"/>
    <m/>
    <m/>
    <m/>
    <m/>
    <n v="0"/>
    <n v="0"/>
    <m/>
    <m/>
    <m/>
    <s v="Purchased"/>
    <s v="Own funding"/>
    <m/>
    <s v="C. GALLOWAY"/>
    <m/>
    <m/>
    <m/>
    <m/>
    <m/>
  </r>
  <r>
    <s v="NHC000796"/>
    <s v="R4 Main Boardroom"/>
    <s v="PPE"/>
    <x v="0"/>
    <s v="MOV"/>
    <x v="0"/>
    <s v="OTH"/>
    <x v="0"/>
    <s v="OTH"/>
    <s v="Other Assets"/>
    <s v="Main offices"/>
    <s v="Main offices"/>
    <s v="OTH"/>
    <s v="High Street Visitors Chair Black Bonded Leather"/>
    <s v="OTH"/>
    <m/>
    <s v="High Street Visitors Chair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8.86"/>
    <m/>
    <n v="0"/>
    <n v="0"/>
    <n v="0"/>
    <n v="2278.86"/>
    <n v="126.60333333333347"/>
    <n v="0"/>
    <m/>
    <m/>
    <n v="-2152.2566666666667"/>
    <m/>
    <s v="NO"/>
    <m/>
    <m/>
    <n v="-126.60333333333347"/>
    <n v="-10.550277777777788"/>
    <m/>
    <s v="Straight line"/>
    <n v="0"/>
    <n v="-2278.86"/>
    <m/>
    <m/>
    <m/>
    <m/>
    <n v="0"/>
    <n v="0"/>
    <m/>
    <m/>
    <m/>
    <s v="Purchased"/>
    <s v="Own funding"/>
    <m/>
    <s v="S. Skenjana"/>
    <m/>
    <m/>
    <m/>
    <m/>
    <m/>
  </r>
  <r>
    <s v="NHC000769"/>
    <s v="R4 Main Boardroom"/>
    <s v="PPE"/>
    <x v="0"/>
    <s v="MOV"/>
    <x v="0"/>
    <s v="OTH"/>
    <x v="0"/>
    <s v="OTH"/>
    <s v="Other Assets"/>
    <s v="Main offices"/>
    <s v="Main offices"/>
    <s v="OTH"/>
    <s v="High Street Visitors Chair Black Bonded Leather"/>
    <s v="OTH"/>
    <m/>
    <s v="High Street Visitors Chair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8.86"/>
    <m/>
    <n v="0"/>
    <n v="0"/>
    <n v="0"/>
    <n v="2278.86"/>
    <n v="126.60333333333347"/>
    <n v="0"/>
    <m/>
    <m/>
    <n v="-2152.2566666666667"/>
    <m/>
    <s v="NO"/>
    <m/>
    <m/>
    <n v="-126.60333333333347"/>
    <n v="-10.550277777777788"/>
    <m/>
    <s v="Straight line"/>
    <n v="0"/>
    <n v="-2278.86"/>
    <m/>
    <m/>
    <m/>
    <m/>
    <n v="0"/>
    <n v="0"/>
    <m/>
    <m/>
    <m/>
    <s v="Purchased"/>
    <s v="Own funding"/>
    <m/>
    <s v="S. Skenjana"/>
    <m/>
    <m/>
    <m/>
    <m/>
    <m/>
  </r>
  <r>
    <s v="NHC000783"/>
    <s v="Open plan co- business "/>
    <s v="PPE"/>
    <x v="0"/>
    <s v="MOV"/>
    <x v="0"/>
    <s v="OTH"/>
    <x v="0"/>
    <s v="OTH"/>
    <s v="Other Assets"/>
    <s v="Main offices"/>
    <s v="Main offices"/>
    <s v="OTH"/>
    <s v="High Street Visitors Chair Black Bonded Leather"/>
    <s v="OTH"/>
    <m/>
    <s v="High Street Visitors Chair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8.86"/>
    <m/>
    <n v="0"/>
    <n v="0"/>
    <n v="0"/>
    <n v="2278.86"/>
    <n v="126.60333333333347"/>
    <n v="0"/>
    <m/>
    <m/>
    <n v="-2152.2566666666667"/>
    <m/>
    <s v="NO"/>
    <m/>
    <m/>
    <n v="-126.60333333333347"/>
    <n v="-10.550277777777788"/>
    <m/>
    <s v="Straight line"/>
    <n v="0"/>
    <n v="-2278.86"/>
    <m/>
    <m/>
    <m/>
    <m/>
    <n v="0"/>
    <n v="0"/>
    <m/>
    <m/>
    <m/>
    <s v="Purchased"/>
    <s v="Own funding"/>
    <m/>
    <s v="S. Zimela"/>
    <m/>
    <m/>
    <m/>
    <m/>
    <m/>
  </r>
  <r>
    <s v="NHC000792"/>
    <s v="R4 Main Boardroom"/>
    <s v="PPE"/>
    <x v="0"/>
    <s v="MOV"/>
    <x v="0"/>
    <s v="OTH"/>
    <x v="0"/>
    <s v="OTH"/>
    <s v="Other Assets"/>
    <s v="Main offices"/>
    <s v="Main offices"/>
    <s v="OTH"/>
    <s v="High Street Visitors Chair Black Bonded Leather"/>
    <s v="OTH"/>
    <m/>
    <s v="High Street Visitors Chair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8.86"/>
    <m/>
    <n v="0"/>
    <n v="0"/>
    <n v="0"/>
    <n v="2278.86"/>
    <n v="126.60333333333347"/>
    <n v="0"/>
    <m/>
    <m/>
    <n v="-2152.2566666666667"/>
    <m/>
    <s v="NO"/>
    <m/>
    <m/>
    <n v="-126.60333333333347"/>
    <n v="-10.550277777777788"/>
    <m/>
    <s v="Straight line"/>
    <n v="0"/>
    <n v="-2278.86"/>
    <m/>
    <m/>
    <m/>
    <m/>
    <n v="0"/>
    <n v="0"/>
    <m/>
    <m/>
    <m/>
    <s v="Purchased"/>
    <s v="Own funding"/>
    <m/>
    <s v="S. Skenjana"/>
    <m/>
    <m/>
    <m/>
    <m/>
    <m/>
  </r>
  <r>
    <s v="NHC000784"/>
    <s v="R4 Main Boardroom"/>
    <s v="PPE"/>
    <x v="0"/>
    <s v="MOV"/>
    <x v="0"/>
    <s v="OTH"/>
    <x v="0"/>
    <s v="OTH"/>
    <s v="Other Assets"/>
    <s v="Main offices"/>
    <s v="Main offices"/>
    <s v="OTH"/>
    <s v="High Street Visitors Chair Black Bonded Leather"/>
    <s v="OTH"/>
    <m/>
    <s v="High Street Visitors Chair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8.86"/>
    <m/>
    <n v="0"/>
    <n v="0"/>
    <n v="0"/>
    <n v="2278.86"/>
    <n v="126.60333333333347"/>
    <n v="0"/>
    <m/>
    <m/>
    <n v="-2152.2566666666667"/>
    <m/>
    <s v="NO"/>
    <m/>
    <m/>
    <n v="-126.60333333333347"/>
    <n v="-10.550277777777788"/>
    <m/>
    <s v="Straight line"/>
    <n v="0"/>
    <n v="-2278.86"/>
    <m/>
    <m/>
    <m/>
    <m/>
    <n v="0"/>
    <n v="0"/>
    <m/>
    <m/>
    <m/>
    <s v="Purchased"/>
    <s v="Own funding"/>
    <m/>
    <s v="S. Skenjana"/>
    <m/>
    <m/>
    <m/>
    <m/>
    <m/>
  </r>
  <r>
    <s v="NHC000744"/>
    <s v="R4 main boardroom "/>
    <s v="PPE"/>
    <x v="0"/>
    <s v="MOV"/>
    <x v="0"/>
    <s v="OTH"/>
    <x v="0"/>
    <s v="OTH"/>
    <s v="Other Assets"/>
    <s v="Main offices"/>
    <s v="Main offices"/>
    <s v="OTH"/>
    <s v="High Street Visitors Chair Black Bonded Leather"/>
    <s v="OTH"/>
    <m/>
    <s v="High Street Visitors Chair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8.86"/>
    <m/>
    <n v="0"/>
    <n v="0"/>
    <n v="0"/>
    <n v="2278.86"/>
    <n v="126.60333333333347"/>
    <n v="0"/>
    <m/>
    <m/>
    <n v="-2152.2566666666667"/>
    <m/>
    <s v="NO"/>
    <m/>
    <m/>
    <n v="-126.60333333333347"/>
    <n v="-10.550277777777788"/>
    <m/>
    <s v="Straight line"/>
    <n v="0"/>
    <n v="-2278.86"/>
    <m/>
    <m/>
    <m/>
    <m/>
    <n v="0"/>
    <n v="0"/>
    <m/>
    <m/>
    <m/>
    <s v="Purchased"/>
    <s v="Own funding"/>
    <m/>
    <s v="S. Skenjana"/>
    <m/>
    <m/>
    <m/>
    <m/>
    <m/>
  </r>
  <r>
    <s v="NHC000751"/>
    <s v="R4 Main Boardroom"/>
    <s v="PPE"/>
    <x v="0"/>
    <s v="MOV"/>
    <x v="0"/>
    <s v="OTH"/>
    <x v="0"/>
    <s v="OTH"/>
    <s v="Other Assets"/>
    <s v="Main offices"/>
    <s v="Main offices"/>
    <s v="OTH"/>
    <s v="High Street Visitors Chair Black Bonded Leather"/>
    <s v="OTH"/>
    <m/>
    <s v="High Street Visitors Chair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8.86"/>
    <m/>
    <n v="0"/>
    <n v="0"/>
    <n v="0"/>
    <n v="2278.86"/>
    <n v="126.60333333333347"/>
    <n v="0"/>
    <m/>
    <m/>
    <n v="-2152.2566666666667"/>
    <m/>
    <s v="NO"/>
    <m/>
    <m/>
    <n v="-126.60333333333347"/>
    <n v="-10.550277777777788"/>
    <m/>
    <s v="Straight line"/>
    <n v="0"/>
    <n v="-2278.86"/>
    <m/>
    <m/>
    <m/>
    <m/>
    <n v="0"/>
    <n v="0"/>
    <m/>
    <m/>
    <m/>
    <s v="Purchased"/>
    <s v="Own funding"/>
    <m/>
    <s v="S. Skenjana"/>
    <m/>
    <m/>
    <m/>
    <m/>
    <m/>
  </r>
  <r>
    <s v="NHC000998"/>
    <s v="R4 main boardroom "/>
    <s v="PPE"/>
    <x v="0"/>
    <s v="MOV"/>
    <x v="0"/>
    <s v="OTH"/>
    <x v="0"/>
    <s v="OTH"/>
    <s v="Other Assets"/>
    <s v="Main offices"/>
    <s v="Main offices"/>
    <s v="OTH"/>
    <s v="High Street Visitors Chair Black Bonded Leather"/>
    <s v="OTH"/>
    <m/>
    <s v="High Street Visitors Chair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8.86"/>
    <m/>
    <n v="0"/>
    <n v="0"/>
    <n v="0"/>
    <n v="2278.86"/>
    <n v="126.60333333333347"/>
    <n v="0"/>
    <m/>
    <m/>
    <n v="-2152.2566666666667"/>
    <m/>
    <s v="NO"/>
    <m/>
    <m/>
    <n v="-126.60333333333347"/>
    <n v="-10.550277777777788"/>
    <m/>
    <s v="Straight line"/>
    <n v="0"/>
    <n v="-2278.86"/>
    <m/>
    <m/>
    <m/>
    <m/>
    <n v="0"/>
    <n v="0"/>
    <m/>
    <m/>
    <m/>
    <s v="Purchased"/>
    <s v="Own funding"/>
    <m/>
    <s v="S. Skenjana"/>
    <m/>
    <m/>
    <m/>
    <m/>
    <m/>
  </r>
  <r>
    <s v="NHC000977"/>
    <s v="R4 Main Boardroom"/>
    <s v="PPE"/>
    <x v="0"/>
    <s v="MOV"/>
    <x v="0"/>
    <s v="OTH"/>
    <x v="0"/>
    <s v="OTH"/>
    <s v="Other Assets"/>
    <s v="Main offices"/>
    <s v="Main offices"/>
    <s v="OTH"/>
    <s v="High Street Visitor Chair Black Bonded Leather"/>
    <s v="OTH"/>
    <m/>
    <s v="High Street Visitor Chair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278.86"/>
    <m/>
    <n v="0"/>
    <n v="0"/>
    <n v="0"/>
    <n v="2278.86"/>
    <n v="126.60333333333347"/>
    <n v="0"/>
    <m/>
    <m/>
    <n v="-2152.2566666666667"/>
    <m/>
    <s v="NO"/>
    <m/>
    <m/>
    <n v="-126.60333333333347"/>
    <n v="-10.550277777777788"/>
    <m/>
    <s v="Straight line"/>
    <n v="0"/>
    <n v="-2278.86"/>
    <m/>
    <m/>
    <m/>
    <m/>
    <n v="0"/>
    <n v="0"/>
    <m/>
    <m/>
    <m/>
    <s v="Purchased"/>
    <s v="Own funding"/>
    <m/>
    <s v="S. Skenjana"/>
    <m/>
    <m/>
    <m/>
    <m/>
    <m/>
  </r>
  <r>
    <s v="NHC001012"/>
    <s v="R5"/>
    <s v="PPE"/>
    <x v="0"/>
    <s v="MOV"/>
    <x v="0"/>
    <s v="OTH"/>
    <x v="0"/>
    <s v="OTH"/>
    <s v="Other Assets"/>
    <s v="Main offices"/>
    <s v="Main offices"/>
    <s v="OTH"/>
    <s v="Fridge Top Freezer"/>
    <s v="OTH"/>
    <m/>
    <s v="Fridge Top Freezer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s v="2 - Good  (46-70%)"/>
    <m/>
    <s v="Actual Cost"/>
    <n v="8248.35"/>
    <m/>
    <n v="0"/>
    <n v="0"/>
    <n v="0"/>
    <n v="8248.35"/>
    <n v="149.82612972363222"/>
    <n v="0"/>
    <m/>
    <m/>
    <n v="-8098.5238702763681"/>
    <m/>
    <s v="NO"/>
    <m/>
    <m/>
    <n v="-88.204092498589958"/>
    <n v="-7.3503410415491635"/>
    <m/>
    <s v="Straight line"/>
    <n v="0"/>
    <n v="-8186.7279627749585"/>
    <m/>
    <m/>
    <m/>
    <m/>
    <n v="0"/>
    <n v="61.622037225041822"/>
    <m/>
    <m/>
    <m/>
    <s v="Purchased"/>
    <s v="Own funding"/>
    <m/>
    <s v="S. Skenjana"/>
    <m/>
    <m/>
    <m/>
    <m/>
    <m/>
  </r>
  <r>
    <s v="NHC001006"/>
    <s v="Open Plan Finance "/>
    <s v="PPE"/>
    <x v="0"/>
    <s v="MOV"/>
    <x v="0"/>
    <s v="OTH"/>
    <x v="0"/>
    <s v="OTH"/>
    <s v="Other Assets"/>
    <s v="Main offices"/>
    <s v="Main offices"/>
    <s v="OTH"/>
    <s v="Coffee Table"/>
    <s v="OTH"/>
    <m/>
    <s v="Coffee Table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s v="2 - Good  (46-70%)"/>
    <m/>
    <s v="Actual Cost"/>
    <n v="5078.62"/>
    <m/>
    <n v="0"/>
    <n v="0"/>
    <n v="0"/>
    <n v="5078.62"/>
    <n v="92.250265087422122"/>
    <n v="0"/>
    <m/>
    <m/>
    <n v="-4986.3697349125778"/>
    <m/>
    <s v="NO"/>
    <m/>
    <m/>
    <n v="-54.308623801466261"/>
    <n v="-4.5257186501221884"/>
    <m/>
    <s v="Straight line"/>
    <n v="0"/>
    <n v="-5040.6783587140444"/>
    <m/>
    <m/>
    <m/>
    <m/>
    <n v="0"/>
    <n v="37.941641285955484"/>
    <m/>
    <m/>
    <m/>
    <s v="Purchased"/>
    <s v="Own funding"/>
    <m/>
    <s v="S. Skenjana"/>
    <m/>
    <m/>
    <m/>
    <m/>
    <m/>
  </r>
  <r>
    <s v="NHC001005"/>
    <n v="0"/>
    <s v="PPE"/>
    <x v="0"/>
    <s v="MOV"/>
    <x v="0"/>
    <s v="OTH"/>
    <x v="0"/>
    <s v="OTH"/>
    <s v="Other Assets"/>
    <s v="Main offices"/>
    <s v="Main offices"/>
    <s v="OTH"/>
    <s v="Amoeba Coffee Table"/>
    <s v="OTH"/>
    <m/>
    <s v="Amoeba Coffee Table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n v="0"/>
    <m/>
    <s v="Actual Cost"/>
    <n v="4519.99"/>
    <m/>
    <n v="0"/>
    <n v="0"/>
    <n v="0"/>
    <n v="4519.99"/>
    <n v="82.102617033277056"/>
    <n v="0"/>
    <m/>
    <m/>
    <n v="-4437.8873829667227"/>
    <m/>
    <s v="NO"/>
    <m/>
    <m/>
    <n v="-48.334605188945375"/>
    <n v="-4.0278837657454476"/>
    <m/>
    <s v="Straight line"/>
    <n v="0"/>
    <n v="-4486.2219881556684"/>
    <m/>
    <m/>
    <m/>
    <m/>
    <n v="0"/>
    <n v="33.76801184433134"/>
    <m/>
    <m/>
    <m/>
    <s v="Purchased"/>
    <s v="Own funding"/>
    <m/>
    <n v="0"/>
    <m/>
    <m/>
    <m/>
    <m/>
    <m/>
  </r>
  <r>
    <s v="NHC001001"/>
    <s v="R1 Main Reception "/>
    <s v="PPE"/>
    <x v="0"/>
    <s v="MOV"/>
    <x v="0"/>
    <s v="OTH"/>
    <x v="0"/>
    <s v="OTH"/>
    <s v="Other Assets"/>
    <s v="Main offices"/>
    <s v="Main offices"/>
    <s v="OTH"/>
    <s v="Tubby Amrchair"/>
    <s v="OTH"/>
    <m/>
    <s v="Tubby Amrchair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s v="2 - Good  (46-70%)"/>
    <m/>
    <s v="Actual Cost"/>
    <n v="8095.26"/>
    <m/>
    <n v="0"/>
    <n v="0"/>
    <n v="0"/>
    <n v="8095.26"/>
    <n v="147.04637563451797"/>
    <n v="0"/>
    <m/>
    <m/>
    <n v="-7948.2136243654822"/>
    <m/>
    <s v="NO"/>
    <m/>
    <m/>
    <n v="-86.567624365482374"/>
    <n v="-7.2139686971235308"/>
    <m/>
    <s v="Straight line"/>
    <n v="0"/>
    <n v="-8034.7812487309648"/>
    <m/>
    <m/>
    <m/>
    <m/>
    <n v="0"/>
    <n v="60.478751269035456"/>
    <m/>
    <m/>
    <m/>
    <s v="Purchased"/>
    <s v="Own funding"/>
    <m/>
    <s v="M. Letsoale"/>
    <m/>
    <m/>
    <m/>
    <m/>
    <m/>
  </r>
  <r>
    <s v="NHC001002"/>
    <s v="R18"/>
    <s v="PPE"/>
    <x v="0"/>
    <s v="MOV"/>
    <x v="0"/>
    <s v="OTH"/>
    <x v="0"/>
    <s v="OTH"/>
    <s v="Other Assets"/>
    <s v="Main offices"/>
    <s v="Main offices"/>
    <s v="OTH"/>
    <s v="Tubby Armchair"/>
    <s v="OTH"/>
    <m/>
    <s v="Tubby Armchair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s v="2 - Good  (46-70%)"/>
    <m/>
    <s v="Actual Cost"/>
    <n v="8095.26"/>
    <m/>
    <n v="0"/>
    <n v="0"/>
    <n v="0"/>
    <n v="8095.26"/>
    <n v="147.04637563451797"/>
    <n v="0"/>
    <m/>
    <m/>
    <n v="-7948.2136243654822"/>
    <m/>
    <s v="NO"/>
    <m/>
    <m/>
    <n v="-86.567624365482374"/>
    <n v="-7.2139686971235308"/>
    <m/>
    <s v="Straight line"/>
    <n v="0"/>
    <n v="-8034.7812487309648"/>
    <m/>
    <m/>
    <m/>
    <m/>
    <n v="0"/>
    <n v="60.478751269035456"/>
    <m/>
    <m/>
    <m/>
    <s v="Purchased"/>
    <s v="Own funding"/>
    <m/>
    <s v="S.Skenjana"/>
    <m/>
    <m/>
    <m/>
    <m/>
    <m/>
  </r>
  <r>
    <s v="NHC001003"/>
    <s v="R1 Main Reception "/>
    <s v="PPE"/>
    <x v="0"/>
    <s v="MOV"/>
    <x v="0"/>
    <s v="OTH"/>
    <x v="0"/>
    <s v="OTH"/>
    <s v="Other Assets"/>
    <s v="Main offices"/>
    <s v="Main offices"/>
    <s v="OTH"/>
    <s v="Tubby Armchair"/>
    <s v="OTH"/>
    <m/>
    <s v="Tubby Armchair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s v="2 - Good  (46-70%)"/>
    <m/>
    <s v="Actual Cost"/>
    <n v="8095.26"/>
    <m/>
    <n v="0"/>
    <n v="0"/>
    <n v="0"/>
    <n v="8095.26"/>
    <n v="147.04637563451797"/>
    <n v="0"/>
    <m/>
    <m/>
    <n v="-7948.2136243654822"/>
    <m/>
    <s v="NO"/>
    <m/>
    <m/>
    <n v="-86.567624365482374"/>
    <n v="-7.2139686971235308"/>
    <m/>
    <s v="Straight line"/>
    <n v="0"/>
    <n v="-8034.7812487309648"/>
    <m/>
    <m/>
    <m/>
    <m/>
    <n v="0"/>
    <n v="60.478751269035456"/>
    <m/>
    <m/>
    <m/>
    <s v="Purchased"/>
    <s v="Own funding"/>
    <m/>
    <s v="M. Letsoale"/>
    <m/>
    <m/>
    <m/>
    <m/>
    <m/>
  </r>
  <r>
    <s v="NHC001004"/>
    <s v="Open plan co- business "/>
    <s v="PPE"/>
    <x v="0"/>
    <s v="MOV"/>
    <x v="0"/>
    <s v="OTH"/>
    <x v="0"/>
    <s v="OTH"/>
    <s v="Other Assets"/>
    <s v="Main offices"/>
    <s v="Main offices"/>
    <s v="OTH"/>
    <s v="Tubby Armchair"/>
    <s v="OTH"/>
    <m/>
    <s v="Tubby Armchair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s v="2 - Good  (46-70%)"/>
    <m/>
    <s v="Actual Cost"/>
    <n v="8095.26"/>
    <m/>
    <n v="0"/>
    <n v="0"/>
    <n v="0"/>
    <n v="8095.26"/>
    <n v="147.04637563451797"/>
    <n v="0"/>
    <m/>
    <m/>
    <n v="-7948.2136243654822"/>
    <m/>
    <s v="NO"/>
    <m/>
    <m/>
    <n v="-86.567624365482374"/>
    <n v="-7.2139686971235308"/>
    <m/>
    <s v="Straight line"/>
    <n v="0"/>
    <n v="-8034.7812487309648"/>
    <m/>
    <m/>
    <m/>
    <m/>
    <n v="0"/>
    <n v="60.478751269035456"/>
    <m/>
    <m/>
    <m/>
    <s v="Purchased"/>
    <s v="Own funding"/>
    <m/>
    <s v="S.Skenjana"/>
    <m/>
    <m/>
    <m/>
    <m/>
    <m/>
  </r>
  <r>
    <s v="NHC001007"/>
    <s v="Open Plan HR"/>
    <s v="PPE"/>
    <x v="0"/>
    <s v="MOV"/>
    <x v="0"/>
    <s v="OTH"/>
    <x v="0"/>
    <s v="OTH"/>
    <s v="Other Assets"/>
    <s v="Main offices"/>
    <s v="Main offices"/>
    <s v="OTH"/>
    <s v="Eez-Off Swivel Tub Chair"/>
    <s v="OTH"/>
    <m/>
    <s v="Eez-Off Swivel Tub Chair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s v="2 - Good  (46-70%)"/>
    <m/>
    <s v="Actual Cost"/>
    <n v="6975.22"/>
    <m/>
    <n v="0"/>
    <n v="0"/>
    <n v="0"/>
    <n v="6975.22"/>
    <n v="126.70114382402699"/>
    <n v="0"/>
    <m/>
    <m/>
    <n v="-6848.5188561759733"/>
    <m/>
    <s v="NO"/>
    <m/>
    <m/>
    <n v="-74.590189509306228"/>
    <n v="-6.2158491257755193"/>
    <m/>
    <s v="Straight line"/>
    <n v="0"/>
    <n v="-6923.1090456852799"/>
    <m/>
    <m/>
    <m/>
    <m/>
    <n v="0"/>
    <n v="52.110954314720402"/>
    <m/>
    <m/>
    <m/>
    <s v="Purchased"/>
    <s v="Own funding"/>
    <m/>
    <s v="M. Serebolo"/>
    <m/>
    <m/>
    <m/>
    <m/>
    <m/>
  </r>
  <r>
    <s v="NHC001008"/>
    <s v="R1 Reception"/>
    <s v="PPE"/>
    <x v="0"/>
    <s v="MOV"/>
    <x v="0"/>
    <s v="OTH"/>
    <x v="0"/>
    <s v="OTH"/>
    <s v="Other Assets"/>
    <s v="Main offices"/>
    <s v="Main offices"/>
    <s v="OTH"/>
    <s v="Eez-Off Swivel Tub Chair"/>
    <s v="OTH"/>
    <m/>
    <s v="Eez-Off Swivel Tub Chair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s v="2 - Good  (46-70%)"/>
    <m/>
    <s v="Actual Cost"/>
    <n v="6975.22"/>
    <m/>
    <n v="0"/>
    <n v="0"/>
    <n v="0"/>
    <n v="6975.22"/>
    <n v="126.70114382402699"/>
    <n v="0"/>
    <m/>
    <m/>
    <n v="-6848.5188561759733"/>
    <m/>
    <s v="NO"/>
    <m/>
    <m/>
    <n v="-74.590189509306228"/>
    <n v="-6.2158491257755193"/>
    <m/>
    <s v="Straight line"/>
    <n v="0"/>
    <n v="-6923.1090456852799"/>
    <m/>
    <m/>
    <m/>
    <m/>
    <n v="0"/>
    <n v="52.110954314720402"/>
    <m/>
    <m/>
    <m/>
    <s v="Purchased"/>
    <s v="Own funding"/>
    <m/>
    <s v="M.Letsoale"/>
    <m/>
    <m/>
    <m/>
    <m/>
    <m/>
  </r>
  <r>
    <s v="NHC001009"/>
    <s v="R1 Reception"/>
    <s v="PPE"/>
    <x v="0"/>
    <s v="MOV"/>
    <x v="0"/>
    <s v="OTH"/>
    <x v="0"/>
    <s v="OTH"/>
    <s v="Other Assets"/>
    <s v="Main offices"/>
    <s v="Main offices"/>
    <s v="OTH"/>
    <s v="Eez-Off Swivel Tub Chair"/>
    <s v="OTH"/>
    <m/>
    <s v="Eez-Off Swivel Tub Chair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s v="2 - Good  (46-70%)"/>
    <m/>
    <s v="Actual Cost"/>
    <n v="6975.22"/>
    <m/>
    <n v="0"/>
    <n v="0"/>
    <n v="0"/>
    <n v="6975.22"/>
    <n v="126.70114382402699"/>
    <n v="0"/>
    <m/>
    <m/>
    <n v="-6848.5188561759733"/>
    <m/>
    <s v="NO"/>
    <m/>
    <m/>
    <n v="-74.590189509306228"/>
    <n v="-6.2158491257755193"/>
    <m/>
    <s v="Straight line"/>
    <n v="0"/>
    <n v="-6923.1090456852799"/>
    <m/>
    <m/>
    <m/>
    <m/>
    <n v="0"/>
    <n v="52.110954314720402"/>
    <m/>
    <m/>
    <m/>
    <s v="Purchased"/>
    <s v="Own funding"/>
    <m/>
    <s v="M.Letsoale"/>
    <m/>
    <m/>
    <m/>
    <m/>
    <m/>
  </r>
  <r>
    <s v="NHC001010"/>
    <s v="Open plan co- business "/>
    <s v="PPE"/>
    <x v="0"/>
    <s v="MOV"/>
    <x v="0"/>
    <s v="OTH"/>
    <x v="0"/>
    <s v="OTH"/>
    <s v="Other Assets"/>
    <s v="Main offices"/>
    <s v="Main offices"/>
    <s v="OTH"/>
    <s v="Eez-Off Swivel Tub Chair"/>
    <s v="OTH"/>
    <m/>
    <s v="Eez-Off Swivel Tub Chair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s v="2 - Good  (46-70%)"/>
    <m/>
    <s v="Actual Cost"/>
    <n v="6975.22"/>
    <m/>
    <n v="0"/>
    <n v="0"/>
    <n v="0"/>
    <n v="6975.22"/>
    <n v="126.70114382402699"/>
    <n v="0"/>
    <m/>
    <m/>
    <n v="-6848.5188561759733"/>
    <m/>
    <s v="NO"/>
    <m/>
    <m/>
    <n v="-74.590189509306228"/>
    <n v="-6.2158491257755193"/>
    <m/>
    <s v="Straight line"/>
    <n v="0"/>
    <n v="-6923.1090456852799"/>
    <m/>
    <m/>
    <m/>
    <m/>
    <n v="0"/>
    <n v="52.110954314720402"/>
    <m/>
    <m/>
    <m/>
    <s v="Purchased"/>
    <s v="Own funding"/>
    <m/>
    <s v="S. Zimela"/>
    <m/>
    <m/>
    <m/>
    <m/>
    <m/>
  </r>
  <r>
    <s v="NHC001011"/>
    <n v="0"/>
    <s v="PPE"/>
    <x v="0"/>
    <s v="MOV"/>
    <x v="0"/>
    <s v="OTH"/>
    <x v="0"/>
    <s v="OTH"/>
    <s v="Other Assets"/>
    <s v="Main offices"/>
    <s v="Main offices"/>
    <s v="OTH"/>
    <s v="Eez-Off Swivel Tub Chair"/>
    <s v="OTH"/>
    <m/>
    <s v="Eez-Off Swivel Tub Chair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n v="0"/>
    <m/>
    <s v="Actual Cost"/>
    <n v="6975.22"/>
    <m/>
    <n v="0"/>
    <n v="0"/>
    <n v="0"/>
    <n v="6975.22"/>
    <n v="126.70114382402699"/>
    <n v="0"/>
    <m/>
    <m/>
    <n v="-6848.5188561759733"/>
    <m/>
    <s v="NO"/>
    <m/>
    <m/>
    <n v="-74.590189509306228"/>
    <n v="-6.2158491257755193"/>
    <m/>
    <s v="Straight line"/>
    <n v="0"/>
    <n v="-6923.1090456852799"/>
    <m/>
    <m/>
    <m/>
    <m/>
    <n v="0"/>
    <n v="52.110954314720402"/>
    <m/>
    <m/>
    <m/>
    <s v="Purchased"/>
    <s v="Own funding"/>
    <m/>
    <n v="0"/>
    <m/>
    <m/>
    <m/>
    <m/>
    <m/>
  </r>
  <r>
    <n v="1024"/>
    <s v="R28"/>
    <s v="PPE"/>
    <x v="0"/>
    <s v="MOV"/>
    <x v="0"/>
    <s v="OTH"/>
    <x v="0"/>
    <s v="OTH"/>
    <s v="Other Assets"/>
    <s v="Main offices"/>
    <s v="Main offices"/>
    <s v="OTH"/>
    <s v="High Back Chair*****"/>
    <s v="OTH"/>
    <m/>
    <s v="High Back Chair*****"/>
    <s v="Cost Model"/>
    <s v="Owned"/>
    <s v="Core"/>
    <x v="0"/>
    <s v="Finance and Administration : Asset Management"/>
    <s v="FX005002001000000000000000000000000"/>
    <s v="IA002015001018001001000000000000000000"/>
    <n v="1"/>
    <s v="22/03/2013"/>
    <d v="2013-03-22T00:00:00"/>
    <s v="NO"/>
    <s v="Yes"/>
    <d v="2022-03-31T00:00:00"/>
    <s v="NA - Actual Cost"/>
    <n v="6"/>
    <n v="0"/>
    <n v="0"/>
    <s v="No Change"/>
    <m/>
    <m/>
    <n v="1"/>
    <m/>
    <n v="1"/>
    <n v="0"/>
    <s v="5 - Very poor (0-10%)"/>
    <m/>
    <s v="Actual Cost"/>
    <n v="1014.6"/>
    <m/>
    <n v="0"/>
    <n v="0"/>
    <n v="0"/>
    <n v="1014.6"/>
    <n v="56.366666666666674"/>
    <n v="0"/>
    <m/>
    <m/>
    <n v="-958.23333333333335"/>
    <m/>
    <s v="NO"/>
    <m/>
    <m/>
    <n v="-56.366666666666674"/>
    <n v="-4.6972222222222229"/>
    <m/>
    <s v="Straight line"/>
    <n v="0"/>
    <n v="-1014.6"/>
    <m/>
    <m/>
    <m/>
    <m/>
    <n v="0"/>
    <n v="0"/>
    <m/>
    <m/>
    <m/>
    <s v="Purchased"/>
    <s v="Own funding"/>
    <m/>
    <s v="M. Tawane"/>
    <m/>
    <m/>
    <m/>
    <m/>
    <m/>
  </r>
  <r>
    <n v="1027"/>
    <s v="R22"/>
    <s v="PPE"/>
    <x v="0"/>
    <s v="MOV"/>
    <x v="0"/>
    <s v="OTH"/>
    <x v="0"/>
    <s v="OTH"/>
    <s v="Other Assets"/>
    <s v="Main offices"/>
    <s v="Main offices"/>
    <s v="OTH"/>
    <s v="Mid Back - Visitor Chair"/>
    <s v="OTH"/>
    <m/>
    <s v="Mid Back - Visitor Chair"/>
    <s v="Cost Model"/>
    <s v="Owned"/>
    <s v="Core"/>
    <x v="0"/>
    <s v="Finance and Administration : Asset Management"/>
    <s v="FX005002001000000000000000000000000"/>
    <s v="IA002015001018001001000000000000000000"/>
    <n v="1"/>
    <s v="25/03/2004"/>
    <d v="2004-03-25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4733.28"/>
    <m/>
    <n v="0"/>
    <n v="0"/>
    <n v="0"/>
    <n v="4733.28"/>
    <n v="262.96000000000004"/>
    <n v="0"/>
    <m/>
    <m/>
    <n v="-4470.32"/>
    <m/>
    <s v="NO"/>
    <m/>
    <m/>
    <n v="-262.96000000000004"/>
    <n v="-21.913333333333338"/>
    <m/>
    <s v="Straight line"/>
    <n v="0"/>
    <n v="-4733.28"/>
    <m/>
    <m/>
    <m/>
    <m/>
    <n v="0"/>
    <n v="0"/>
    <m/>
    <m/>
    <m/>
    <s v="Purchased"/>
    <s v="Own funding"/>
    <m/>
    <s v="S.P. Pudikabekwa"/>
    <m/>
    <m/>
    <m/>
    <m/>
    <m/>
  </r>
  <r>
    <n v="1029"/>
    <s v="R13 CEO Offce"/>
    <s v="PPE"/>
    <x v="0"/>
    <s v="MOV"/>
    <x v="0"/>
    <s v="OTH"/>
    <x v="0"/>
    <s v="OTH"/>
    <s v="Other Assets"/>
    <s v="Main offices"/>
    <s v="Main offices"/>
    <s v="OTH"/>
    <s v="Mini Couch 4 Leg"/>
    <s v="OTH"/>
    <m/>
    <s v="Mini Couch 4 Leg"/>
    <s v="Cost Model"/>
    <s v="Owned"/>
    <s v="Core"/>
    <x v="0"/>
    <s v="Finance and Administration : Asset Management"/>
    <s v="FX005002001000000000000000000000000"/>
    <s v="IA002015001018001001000000000000000000"/>
    <n v="1"/>
    <s v="22/03/2013"/>
    <d v="2013-03-22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593.5"/>
    <m/>
    <n v="0"/>
    <n v="0"/>
    <n v="0"/>
    <n v="2593.5"/>
    <n v="144.08333333333303"/>
    <n v="0"/>
    <m/>
    <m/>
    <n v="-2449.416666666667"/>
    <m/>
    <s v="NO"/>
    <m/>
    <m/>
    <n v="-144.08333333333303"/>
    <n v="-12.00694444444442"/>
    <m/>
    <s v="Straight line"/>
    <n v="0"/>
    <n v="-2593.5"/>
    <m/>
    <m/>
    <m/>
    <m/>
    <n v="0"/>
    <n v="0"/>
    <m/>
    <m/>
    <m/>
    <s v="Purchased"/>
    <s v="Own funding"/>
    <m/>
    <s v="T. Manetsi"/>
    <m/>
    <m/>
    <m/>
    <m/>
    <m/>
  </r>
  <r>
    <n v="1030"/>
    <n v="0"/>
    <s v="PPE"/>
    <x v="0"/>
    <s v="MOV"/>
    <x v="0"/>
    <s v="OTH"/>
    <x v="0"/>
    <s v="OTH"/>
    <s v="Other Assets"/>
    <s v="Main offices"/>
    <s v="Main offices"/>
    <s v="OTH"/>
    <s v="Tea Trolley"/>
    <s v="OTH"/>
    <m/>
    <s v="Tea Trolley"/>
    <s v="Cost Model"/>
    <s v="Owned"/>
    <s v="Core"/>
    <x v="0"/>
    <s v="Finance and Administration : Asset Management"/>
    <s v="FX005002001000000000000000000000000"/>
    <s v="IA002015001018001001000000000000000000"/>
    <n v="1"/>
    <s v="01/04/2009"/>
    <d v="2009-04-01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691"/>
    <m/>
    <n v="0"/>
    <n v="0"/>
    <n v="0"/>
    <n v="691"/>
    <n v="38.388888888888914"/>
    <n v="0"/>
    <m/>
    <m/>
    <n v="-652.61111111111109"/>
    <m/>
    <s v="NO"/>
    <m/>
    <m/>
    <n v="-38.388888888888914"/>
    <n v="-3.1990740740740762"/>
    <m/>
    <s v="Straight line"/>
    <n v="0"/>
    <n v="-691"/>
    <m/>
    <m/>
    <m/>
    <m/>
    <n v="0"/>
    <n v="0"/>
    <m/>
    <m/>
    <m/>
    <s v="Purchased"/>
    <s v="Own funding"/>
    <m/>
    <n v="0"/>
    <m/>
    <m/>
    <m/>
    <m/>
    <m/>
  </r>
  <r>
    <n v="1112"/>
    <s v="R3 Open plan finance "/>
    <s v="PPE"/>
    <x v="0"/>
    <s v="MOV"/>
    <x v="0"/>
    <s v="OTH"/>
    <x v="0"/>
    <s v="OTH"/>
    <s v="Other Assets"/>
    <s v="Main offices"/>
    <s v="Main offices"/>
    <s v="OTH"/>
    <s v="Diplomat Panel Desk/Pedestal"/>
    <s v="OTH"/>
    <m/>
    <s v="Diplomat Panel Desk/Pedestal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17200"/>
    <m/>
    <n v="0"/>
    <n v="0"/>
    <n v="0"/>
    <n v="17200"/>
    <n v="724.52048931489844"/>
    <n v="0"/>
    <m/>
    <m/>
    <n v="-16475.479510685102"/>
    <m/>
    <s v="NO"/>
    <m/>
    <m/>
    <n v="-718.61407228244013"/>
    <n v="-59.88450602353668"/>
    <m/>
    <s v="Straight line"/>
    <n v="0"/>
    <n v="-17194.09358296754"/>
    <m/>
    <m/>
    <m/>
    <m/>
    <n v="0"/>
    <n v="5.9064170324600127"/>
    <m/>
    <m/>
    <m/>
    <s v="Purchased"/>
    <s v="Own funding"/>
    <m/>
    <s v="M. MANENZHE"/>
    <m/>
    <m/>
    <m/>
    <m/>
    <m/>
  </r>
  <r>
    <n v="1117"/>
    <s v="R15 executive offices "/>
    <s v="PPE"/>
    <x v="0"/>
    <s v="MOV"/>
    <x v="0"/>
    <s v="OTH"/>
    <x v="0"/>
    <s v="OTH"/>
    <s v="Other Assets"/>
    <s v="Main offices"/>
    <s v="Main offices"/>
    <s v="OTH"/>
    <s v="Executive Desk"/>
    <s v="OTH"/>
    <m/>
    <s v="Executive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600"/>
    <m/>
    <n v="0"/>
    <n v="0"/>
    <n v="0"/>
    <n v="8600"/>
    <n v="362.26024465744922"/>
    <n v="0"/>
    <m/>
    <m/>
    <n v="-8237.7397553425508"/>
    <m/>
    <s v="NO"/>
    <m/>
    <m/>
    <n v="-359.30703614122007"/>
    <n v="-29.94225301176834"/>
    <m/>
    <s v="Straight line"/>
    <n v="0"/>
    <n v="-8597.04679148377"/>
    <m/>
    <m/>
    <m/>
    <m/>
    <n v="0"/>
    <n v="2.9532085162300064"/>
    <m/>
    <m/>
    <m/>
    <s v="Purchased"/>
    <s v="Own funding"/>
    <m/>
    <s v="C. VAN Huyssteen"/>
    <m/>
    <m/>
    <m/>
    <m/>
    <m/>
  </r>
  <r>
    <n v="1113"/>
    <s v="Open plan finance "/>
    <s v="PPE"/>
    <x v="0"/>
    <s v="MOV"/>
    <x v="0"/>
    <s v="OTH"/>
    <x v="0"/>
    <s v="OTH"/>
    <s v="Other Assets"/>
    <s v="Main offices"/>
    <s v="Main offices"/>
    <s v="OTH"/>
    <s v="Round Table"/>
    <s v="OTH"/>
    <m/>
    <s v="Round Table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7000"/>
    <m/>
    <n v="0"/>
    <n v="0"/>
    <n v="0"/>
    <n v="7000"/>
    <n v="294.86298983745928"/>
    <n v="0"/>
    <m/>
    <m/>
    <n v="-6705.1370101625407"/>
    <m/>
    <s v="NO"/>
    <m/>
    <m/>
    <n v="-292.4592154637844"/>
    <n v="-24.371601288648701"/>
    <m/>
    <s v="Straight line"/>
    <n v="0"/>
    <n v="-6997.5962256263247"/>
    <m/>
    <m/>
    <m/>
    <m/>
    <n v="0"/>
    <n v="2.4037743736753328"/>
    <m/>
    <m/>
    <m/>
    <s v="Purchased"/>
    <s v="Own funding"/>
    <m/>
    <s v="S. Buthelezi"/>
    <m/>
    <m/>
    <m/>
    <m/>
    <m/>
  </r>
  <r>
    <n v="1114"/>
    <s v="R3 Open plan finance "/>
    <s v="PPE"/>
    <x v="0"/>
    <s v="MOV"/>
    <x v="0"/>
    <s v="OTH"/>
    <x v="0"/>
    <s v="OTH"/>
    <s v="Other Assets"/>
    <s v="Main offices"/>
    <s v="Main offices"/>
    <s v="OTH"/>
    <s v="Bus Class Visitors Chair"/>
    <s v="OTH"/>
    <m/>
    <s v="Bus Class Visitors Chair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3500"/>
    <m/>
    <n v="0"/>
    <n v="0"/>
    <n v="0"/>
    <n v="3500"/>
    <n v="147.43149491872964"/>
    <n v="0"/>
    <m/>
    <m/>
    <n v="-3352.5685050812704"/>
    <m/>
    <s v="NO"/>
    <m/>
    <m/>
    <n v="-146.2296077318922"/>
    <n v="-12.185800644324351"/>
    <m/>
    <s v="Straight line"/>
    <n v="0"/>
    <n v="-3498.7981128131623"/>
    <m/>
    <m/>
    <m/>
    <m/>
    <n v="0"/>
    <n v="1.2018871868376664"/>
    <m/>
    <m/>
    <m/>
    <s v="Purchased"/>
    <s v="Own funding"/>
    <m/>
    <s v="M. MANENZHE"/>
    <m/>
    <m/>
    <m/>
    <m/>
    <m/>
  </r>
  <r>
    <n v="1115"/>
    <s v="R9 executive office"/>
    <s v="PPE"/>
    <x v="0"/>
    <s v="MOV"/>
    <x v="0"/>
    <s v="OTH"/>
    <x v="0"/>
    <s v="OTH"/>
    <s v="Other Assets"/>
    <s v="Main offices"/>
    <s v="Main offices"/>
    <s v="OTH"/>
    <s v="Bus Class Visitors Chair"/>
    <s v="OTH"/>
    <m/>
    <s v="Bus Class Visitors Chair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3500"/>
    <m/>
    <n v="0"/>
    <n v="0"/>
    <n v="0"/>
    <n v="3500"/>
    <n v="147.43149491872964"/>
    <n v="0"/>
    <m/>
    <m/>
    <n v="-3352.5685050812704"/>
    <m/>
    <s v="NO"/>
    <m/>
    <m/>
    <n v="-146.2296077318922"/>
    <n v="-12.185800644324351"/>
    <m/>
    <s v="Straight line"/>
    <n v="0"/>
    <n v="-3498.7981128131623"/>
    <m/>
    <m/>
    <m/>
    <m/>
    <n v="0"/>
    <n v="1.2018871868376664"/>
    <m/>
    <m/>
    <m/>
    <s v="Purchased"/>
    <s v="Own funding"/>
    <m/>
    <s v="P. Kadi"/>
    <m/>
    <m/>
    <m/>
    <m/>
    <m/>
  </r>
  <r>
    <n v="1116"/>
    <s v="Open Plan core business"/>
    <s v="PPE"/>
    <x v="0"/>
    <s v="MOV"/>
    <x v="0"/>
    <s v="OTH"/>
    <x v="0"/>
    <s v="OTH"/>
    <s v="Other Assets"/>
    <s v="Main offices"/>
    <s v="Main offices"/>
    <s v="OTH"/>
    <s v="Bus Class Visitors Chair"/>
    <s v="OTH"/>
    <m/>
    <s v="Bus Class Visitors Chair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3500"/>
    <m/>
    <n v="0"/>
    <n v="0"/>
    <n v="0"/>
    <n v="3500"/>
    <n v="147.43149491872964"/>
    <n v="0"/>
    <m/>
    <m/>
    <n v="-3352.5685050812704"/>
    <m/>
    <s v="NO"/>
    <m/>
    <m/>
    <n v="-146.2296077318922"/>
    <n v="-12.185800644324351"/>
    <m/>
    <s v="Straight line"/>
    <n v="0"/>
    <n v="-3498.7981128131623"/>
    <m/>
    <m/>
    <m/>
    <m/>
    <n v="0"/>
    <n v="1.2018871868376664"/>
    <m/>
    <m/>
    <m/>
    <s v="Purchased"/>
    <s v="Own funding"/>
    <m/>
    <s v="N. Maluleke"/>
    <m/>
    <m/>
    <m/>
    <m/>
    <m/>
  </r>
  <r>
    <n v="1118"/>
    <s v="R15 executive offices "/>
    <s v="PPE"/>
    <x v="0"/>
    <s v="MOV"/>
    <x v="0"/>
    <s v="OTH"/>
    <x v="0"/>
    <s v="OTH"/>
    <s v="Other Assets"/>
    <s v="Main offices"/>
    <s v="Main offices"/>
    <s v="OTH"/>
    <s v="L-Extension/Desk H Pedestal/ Credenza"/>
    <s v="OTH"/>
    <m/>
    <s v="L-Extension/Desk H Pedestal/ Credenza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14000"/>
    <m/>
    <n v="0"/>
    <n v="0"/>
    <n v="0"/>
    <n v="14000"/>
    <n v="589.72597967491856"/>
    <n v="0"/>
    <m/>
    <m/>
    <n v="-13410.274020325081"/>
    <m/>
    <s v="NO"/>
    <m/>
    <m/>
    <n v="-584.91843092756881"/>
    <n v="-48.743202577297403"/>
    <m/>
    <s v="Straight line"/>
    <n v="0"/>
    <n v="-13995.192451252649"/>
    <m/>
    <m/>
    <m/>
    <m/>
    <n v="0"/>
    <n v="4.8075487473506655"/>
    <m/>
    <m/>
    <m/>
    <s v="Purchased"/>
    <s v="Own funding"/>
    <m/>
    <s v="C. VAN Huyssteen"/>
    <m/>
    <m/>
    <m/>
    <m/>
    <m/>
  </r>
  <r>
    <n v="1120"/>
    <s v="R15 executive offices "/>
    <s v="PPE"/>
    <x v="0"/>
    <s v="MOV"/>
    <x v="0"/>
    <s v="OTH"/>
    <x v="0"/>
    <s v="OTH"/>
    <s v="Other Assets"/>
    <s v="Main offices"/>
    <s v="Main offices"/>
    <s v="OTH"/>
    <s v="Focus Display Unit"/>
    <s v="OTH"/>
    <m/>
    <s v="Focus Display Unit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13000"/>
    <m/>
    <n v="0"/>
    <n v="0"/>
    <n v="0"/>
    <n v="13000"/>
    <n v="547.60269541242451"/>
    <n v="0"/>
    <m/>
    <m/>
    <n v="-12452.397304587575"/>
    <m/>
    <s v="NO"/>
    <m/>
    <m/>
    <n v="-543.13854300417108"/>
    <n v="-45.261545250347588"/>
    <m/>
    <s v="Straight line"/>
    <n v="0"/>
    <n v="-12995.535847591747"/>
    <m/>
    <m/>
    <m/>
    <m/>
    <n v="0"/>
    <n v="4.4641524082526303"/>
    <m/>
    <m/>
    <m/>
    <s v="Purchased"/>
    <s v="Own funding"/>
    <m/>
    <s v="C. VAN Huyssteen"/>
    <m/>
    <m/>
    <m/>
    <m/>
    <m/>
  </r>
  <r>
    <n v="1121"/>
    <s v="Open plan co- business 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S.Skenjana"/>
    <m/>
    <m/>
    <m/>
    <m/>
    <m/>
  </r>
  <r>
    <n v="1122"/>
    <s v="Open plan Risk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S.Skenjana"/>
    <m/>
    <m/>
    <m/>
    <m/>
    <m/>
  </r>
  <r>
    <n v="1123"/>
    <s v="R2 Open plan finance 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N. Gawula"/>
    <m/>
    <m/>
    <m/>
    <m/>
    <m/>
  </r>
  <r>
    <n v="1124"/>
    <s v="Open Plan finance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L. Zwane"/>
    <m/>
    <m/>
    <m/>
    <m/>
    <m/>
  </r>
  <r>
    <n v="1203"/>
    <s v="Open Plan Finance "/>
    <s v="PPE"/>
    <x v="0"/>
    <s v="MOV"/>
    <x v="0"/>
    <s v="OTH"/>
    <x v="0"/>
    <s v="OTH"/>
    <s v="Other Assets"/>
    <s v="Main offices"/>
    <s v="Main offices"/>
    <s v="OTH"/>
    <s v="Chair/ Light Green"/>
    <s v="OTH"/>
    <m/>
    <s v="Chair/ Light Green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3 - Fair (26-45%)"/>
    <m/>
    <s v="Actual Cost"/>
    <n v="3000"/>
    <m/>
    <n v="0"/>
    <n v="0"/>
    <n v="0"/>
    <n v="3000"/>
    <n v="126.36985278748261"/>
    <n v="0"/>
    <m/>
    <m/>
    <n v="-2873.6301472125174"/>
    <m/>
    <s v="NO"/>
    <m/>
    <m/>
    <n v="-125.33966377019337"/>
    <n v="-10.444971980849447"/>
    <m/>
    <s v="Straight line"/>
    <n v="0"/>
    <n v="-2998.9698109827109"/>
    <m/>
    <m/>
    <m/>
    <m/>
    <n v="0"/>
    <n v="1.0301890172891035"/>
    <m/>
    <m/>
    <m/>
    <s v="Purchased"/>
    <s v="Own funding"/>
    <m/>
    <s v="S. Skenjana"/>
    <m/>
    <m/>
    <m/>
    <m/>
    <m/>
  </r>
  <r>
    <n v="1204"/>
    <s v="Basement storage "/>
    <s v="PPE"/>
    <x v="0"/>
    <s v="MOV"/>
    <x v="0"/>
    <s v="OTH"/>
    <x v="0"/>
    <s v="OTH"/>
    <s v="Other Assets"/>
    <s v="Main offices"/>
    <s v="Main offices"/>
    <s v="OTH"/>
    <s v="Chair/ Light Green"/>
    <s v="OTH"/>
    <m/>
    <s v="Chair/ Light Green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3000"/>
    <m/>
    <n v="0"/>
    <n v="0"/>
    <n v="0"/>
    <n v="3000"/>
    <n v="126.36985278748261"/>
    <n v="0"/>
    <m/>
    <m/>
    <n v="-2873.6301472125174"/>
    <m/>
    <s v="NO"/>
    <m/>
    <m/>
    <n v="-125.33966377019337"/>
    <n v="-10.444971980849447"/>
    <m/>
    <s v="Straight line"/>
    <n v="0"/>
    <n v="-2998.9698109827109"/>
    <m/>
    <m/>
    <m/>
    <m/>
    <n v="0"/>
    <n v="1.0301890172891035"/>
    <m/>
    <m/>
    <m/>
    <s v="Purchased"/>
    <s v="Own funding"/>
    <m/>
    <s v="S. Skenjana"/>
    <m/>
    <m/>
    <m/>
    <m/>
    <m/>
  </r>
  <r>
    <n v="1219"/>
    <s v="Open plan Risk"/>
    <s v="PPE"/>
    <x v="0"/>
    <s v="MOV"/>
    <x v="0"/>
    <s v="OTH"/>
    <x v="0"/>
    <s v="OTH"/>
    <s v="Other Assets"/>
    <s v="Main offices"/>
    <s v="Main offices"/>
    <s v="OTH"/>
    <s v="Mobile Pedestal"/>
    <s v="OTH"/>
    <m/>
    <s v="Mobile Pedestal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5400"/>
    <m/>
    <n v="0"/>
    <n v="0"/>
    <n v="0"/>
    <n v="5400"/>
    <n v="227.46573501746843"/>
    <n v="0"/>
    <m/>
    <m/>
    <n v="-5172.5342649825316"/>
    <m/>
    <s v="NO"/>
    <m/>
    <m/>
    <n v="-225.6113947863478"/>
    <n v="-18.800949565528985"/>
    <m/>
    <s v="Straight line"/>
    <n v="0"/>
    <n v="-5398.1456597688793"/>
    <m/>
    <m/>
    <m/>
    <m/>
    <n v="0"/>
    <n v="1.8543402311206592"/>
    <m/>
    <m/>
    <m/>
    <s v="Purchased"/>
    <s v="Own funding"/>
    <m/>
    <s v="Z. Sithole"/>
    <m/>
    <m/>
    <m/>
    <m/>
    <m/>
  </r>
  <r>
    <n v="1125"/>
    <s v="R1 Open plan finance 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D.T Mkhonto"/>
    <m/>
    <m/>
    <m/>
    <m/>
    <m/>
  </r>
  <r>
    <n v="1126"/>
    <s v="Open plan finance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S.Skenjana"/>
    <m/>
    <m/>
    <m/>
    <m/>
    <m/>
  </r>
  <r>
    <n v="1128"/>
    <s v="Open plan Risk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S.Skenjana"/>
    <m/>
    <m/>
    <m/>
    <m/>
    <m/>
  </r>
  <r>
    <n v="1129"/>
    <s v="R15 executive offices 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C. VAN Huyssteen"/>
    <m/>
    <m/>
    <m/>
    <m/>
    <m/>
  </r>
  <r>
    <n v="1131"/>
    <s v="Open Plan HR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M. Serebolo"/>
    <m/>
    <m/>
    <m/>
    <m/>
    <m/>
  </r>
  <r>
    <n v="1132"/>
    <s v="Open plan co- business 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S.Skenjana"/>
    <m/>
    <m/>
    <m/>
    <m/>
    <m/>
  </r>
  <r>
    <n v="1133"/>
    <s v="R1 Open plan finance 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N.V Mtshali"/>
    <m/>
    <m/>
    <m/>
    <m/>
    <m/>
  </r>
  <r>
    <n v="1134"/>
    <s v="R8 Executive Office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3 - Fair (26-45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M. Davids"/>
    <m/>
    <m/>
    <m/>
    <m/>
    <m/>
  </r>
  <r>
    <n v="1135"/>
    <s v="Open plan finance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B.N. Ramapuputla"/>
    <m/>
    <m/>
    <m/>
    <m/>
    <m/>
  </r>
  <r>
    <n v="1136"/>
    <s v="R1 Open plan finance 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B.L Mthombeni"/>
    <m/>
    <m/>
    <m/>
    <m/>
    <m/>
  </r>
  <r>
    <n v="1137"/>
    <s v="Open plan co-Business"/>
    <s v="PPE"/>
    <x v="0"/>
    <s v="MOV"/>
    <x v="0"/>
    <s v="OTH"/>
    <x v="0"/>
    <s v="OTH"/>
    <s v="Other Assets"/>
    <s v="Main offices"/>
    <s v="Main offices"/>
    <s v="OTH"/>
    <s v="Rectangular Workshop/ Desk/Irreparable"/>
    <s v="OTH"/>
    <m/>
    <s v="Rectangular Workshop/ Desk/Irreparable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KS. Mojapelo"/>
    <m/>
    <m/>
    <m/>
    <m/>
    <m/>
  </r>
  <r>
    <n v="1138"/>
    <s v="Open Plan finance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S. Zawana "/>
    <m/>
    <m/>
    <m/>
    <m/>
    <m/>
  </r>
  <r>
    <n v="1139"/>
    <s v="Open Plan finance"/>
    <s v="PPE"/>
    <x v="0"/>
    <s v="MOV"/>
    <x v="0"/>
    <s v="OTH"/>
    <x v="0"/>
    <s v="OTH"/>
    <s v="Other Assets"/>
    <s v="Main offices"/>
    <s v="Main offices"/>
    <s v="OTH"/>
    <s v="Rectangular Workshop/ Desk"/>
    <s v="OTH"/>
    <m/>
    <s v="Rectangular Workshop/ Desk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3 - Fair (26-45%)"/>
    <m/>
    <s v="Actual Cost"/>
    <n v="8520"/>
    <m/>
    <n v="0"/>
    <n v="0"/>
    <n v="0"/>
    <n v="8520"/>
    <n v="358.89038191644977"/>
    <n v="0"/>
    <m/>
    <m/>
    <n v="-8161.1096180835502"/>
    <m/>
    <s v="NO"/>
    <m/>
    <m/>
    <n v="-355.9646451073483"/>
    <n v="-29.663720425612357"/>
    <m/>
    <s v="Straight line"/>
    <n v="0"/>
    <n v="-8517.0742631908979"/>
    <m/>
    <m/>
    <m/>
    <m/>
    <n v="0"/>
    <n v="2.9257368091020908"/>
    <m/>
    <m/>
    <m/>
    <s v="Purchased"/>
    <s v="Own funding"/>
    <m/>
    <s v="L. Zwane"/>
    <m/>
    <m/>
    <m/>
    <m/>
    <m/>
  </r>
  <r>
    <n v="1205"/>
    <s v="Open Plan Finance "/>
    <s v="PPE"/>
    <x v="0"/>
    <s v="MOV"/>
    <x v="0"/>
    <s v="OTH"/>
    <x v="0"/>
    <s v="OTH"/>
    <s v="Other Assets"/>
    <s v="Main offices"/>
    <s v="Main offices"/>
    <s v="OTH"/>
    <s v="Chair/ Light Green"/>
    <s v="OTH"/>
    <m/>
    <s v="Chair/ Light Green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3 - Fair (26-45%)"/>
    <m/>
    <s v="Actual Cost"/>
    <n v="3000"/>
    <m/>
    <n v="0"/>
    <n v="0"/>
    <n v="0"/>
    <n v="3000"/>
    <n v="126.36985278748261"/>
    <n v="0"/>
    <m/>
    <m/>
    <n v="-2873.6301472125174"/>
    <m/>
    <s v="NO"/>
    <m/>
    <m/>
    <n v="-125.33966377019337"/>
    <n v="-10.444971980849447"/>
    <m/>
    <s v="Straight line"/>
    <n v="0"/>
    <n v="-2998.9698109827109"/>
    <m/>
    <m/>
    <m/>
    <m/>
    <n v="0"/>
    <n v="1.0301890172891035"/>
    <m/>
    <m/>
    <m/>
    <s v="Purchased"/>
    <s v="Own funding"/>
    <m/>
    <s v="S. Skenjana"/>
    <m/>
    <m/>
    <m/>
    <m/>
    <m/>
  </r>
  <r>
    <n v="1207"/>
    <s v="R8 Executive Office"/>
    <s v="PPE"/>
    <x v="0"/>
    <s v="MOV"/>
    <x v="0"/>
    <s v="OTH"/>
    <x v="0"/>
    <s v="OTH"/>
    <s v="Other Assets"/>
    <s v="Main offices"/>
    <s v="Main offices"/>
    <s v="OTH"/>
    <s v="Chair/ Light Green"/>
    <s v="OTH"/>
    <m/>
    <s v="Chair/ Light Green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3 - Fair (26-45%)"/>
    <m/>
    <s v="Actual Cost"/>
    <n v="3000"/>
    <m/>
    <n v="0"/>
    <n v="0"/>
    <n v="0"/>
    <n v="3000"/>
    <n v="126.36985278748261"/>
    <n v="0"/>
    <m/>
    <m/>
    <n v="-2873.6301472125174"/>
    <m/>
    <s v="NO"/>
    <m/>
    <m/>
    <n v="-125.33966377019337"/>
    <n v="-10.444971980849447"/>
    <m/>
    <s v="Straight line"/>
    <n v="0"/>
    <n v="-2998.9698109827109"/>
    <m/>
    <m/>
    <m/>
    <m/>
    <n v="0"/>
    <n v="1.0301890172891035"/>
    <m/>
    <m/>
    <m/>
    <s v="Purchased"/>
    <s v="Own funding"/>
    <m/>
    <s v="M. Davids"/>
    <m/>
    <m/>
    <m/>
    <m/>
    <m/>
  </r>
  <r>
    <n v="1208"/>
    <s v="Open Plan Finance "/>
    <s v="PPE"/>
    <x v="0"/>
    <s v="MOV"/>
    <x v="0"/>
    <s v="OTH"/>
    <x v="0"/>
    <s v="OTH"/>
    <s v="Other Assets"/>
    <s v="Main offices"/>
    <s v="Main offices"/>
    <s v="OTH"/>
    <s v="Chair/ Light Green"/>
    <s v="OTH"/>
    <m/>
    <s v="Chair/ Light Green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3 - Fair (26-45%)"/>
    <m/>
    <s v="Actual Cost"/>
    <n v="3000"/>
    <m/>
    <n v="0"/>
    <n v="0"/>
    <n v="0"/>
    <n v="3000"/>
    <n v="126.36985278748261"/>
    <n v="0"/>
    <m/>
    <m/>
    <n v="-2873.6301472125174"/>
    <m/>
    <s v="NO"/>
    <m/>
    <m/>
    <n v="-125.33966377019337"/>
    <n v="-10.444971980849447"/>
    <m/>
    <s v="Straight line"/>
    <n v="0"/>
    <n v="-2998.9698109827109"/>
    <m/>
    <m/>
    <m/>
    <m/>
    <n v="0"/>
    <n v="1.0301890172891035"/>
    <m/>
    <m/>
    <m/>
    <s v="Purchased"/>
    <s v="Own funding"/>
    <m/>
    <s v="S. Skenjana"/>
    <m/>
    <m/>
    <m/>
    <m/>
    <m/>
  </r>
  <r>
    <n v="1212"/>
    <s v="Open Plan Finance "/>
    <s v="PPE"/>
    <x v="0"/>
    <s v="MOV"/>
    <x v="0"/>
    <s v="OTH"/>
    <x v="0"/>
    <s v="OTH"/>
    <s v="Other Assets"/>
    <s v="Main offices"/>
    <s v="Main offices"/>
    <s v="OTH"/>
    <s v="Chair/ Light Green"/>
    <s v="OTH"/>
    <m/>
    <s v="Chair/ Light Green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3 - Fair (26-45%)"/>
    <m/>
    <s v="Actual Cost"/>
    <n v="3000"/>
    <m/>
    <n v="0"/>
    <n v="0"/>
    <n v="0"/>
    <n v="3000"/>
    <n v="126.36985278748261"/>
    <n v="0"/>
    <m/>
    <m/>
    <n v="-2873.6301472125174"/>
    <m/>
    <s v="NO"/>
    <m/>
    <m/>
    <n v="-125.33966377019337"/>
    <n v="-10.444971980849447"/>
    <m/>
    <s v="Straight line"/>
    <n v="0"/>
    <n v="-2998.9698109827109"/>
    <m/>
    <m/>
    <m/>
    <m/>
    <n v="0"/>
    <n v="1.0301890172891035"/>
    <m/>
    <m/>
    <m/>
    <s v="Purchased"/>
    <s v="Own funding"/>
    <m/>
    <s v="S. Skenjana"/>
    <m/>
    <m/>
    <m/>
    <m/>
    <m/>
  </r>
  <r>
    <n v="1213"/>
    <s v="Open plan finance "/>
    <s v="PPE"/>
    <x v="0"/>
    <s v="MOV"/>
    <x v="0"/>
    <s v="OTH"/>
    <x v="0"/>
    <s v="OTH"/>
    <s v="Other Assets"/>
    <s v="Main offices"/>
    <s v="Main offices"/>
    <s v="OTH"/>
    <s v="Chair/ Light Green"/>
    <s v="OTH"/>
    <m/>
    <s v="Chair/ Light Green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3000"/>
    <m/>
    <n v="0"/>
    <n v="0"/>
    <n v="0"/>
    <n v="3000"/>
    <n v="126.36985278748261"/>
    <n v="0"/>
    <m/>
    <m/>
    <n v="-2873.6301472125174"/>
    <m/>
    <s v="NO"/>
    <m/>
    <m/>
    <n v="-125.33966377019337"/>
    <n v="-10.444971980849447"/>
    <m/>
    <s v="Straight line"/>
    <n v="0"/>
    <n v="-2998.9698109827109"/>
    <m/>
    <m/>
    <m/>
    <m/>
    <n v="0"/>
    <n v="1.0301890172891035"/>
    <m/>
    <m/>
    <m/>
    <s v="Purchased"/>
    <s v="Own funding"/>
    <m/>
    <s v="S.Skenjana"/>
    <m/>
    <m/>
    <m/>
    <m/>
    <m/>
  </r>
  <r>
    <n v="1214"/>
    <s v="Open Plan Finance "/>
    <s v="PPE"/>
    <x v="0"/>
    <s v="MOV"/>
    <x v="0"/>
    <s v="OTH"/>
    <x v="0"/>
    <s v="OTH"/>
    <s v="Other Assets"/>
    <s v="Main offices"/>
    <s v="Main offices"/>
    <s v="OTH"/>
    <s v="Chair/ Light Green"/>
    <s v="OTH"/>
    <m/>
    <s v="Chair/ Light Green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3 - Fair (26-45%)"/>
    <m/>
    <s v="Actual Cost"/>
    <n v="3000"/>
    <m/>
    <n v="0"/>
    <n v="0"/>
    <n v="0"/>
    <n v="3000"/>
    <n v="126.36985278748261"/>
    <n v="0"/>
    <m/>
    <m/>
    <n v="-2873.6301472125174"/>
    <m/>
    <s v="NO"/>
    <m/>
    <m/>
    <n v="-125.33966377019337"/>
    <n v="-10.444971980849447"/>
    <m/>
    <s v="Straight line"/>
    <n v="0"/>
    <n v="-2998.9698109827109"/>
    <m/>
    <m/>
    <m/>
    <m/>
    <n v="0"/>
    <n v="1.0301890172891035"/>
    <m/>
    <m/>
    <m/>
    <s v="Purchased"/>
    <s v="Own funding"/>
    <m/>
    <s v="S. Skenjana"/>
    <m/>
    <m/>
    <m/>
    <m/>
    <m/>
  </r>
  <r>
    <n v="1216"/>
    <s v="R25"/>
    <s v="PPE"/>
    <x v="0"/>
    <s v="MOV"/>
    <x v="0"/>
    <s v="OTH"/>
    <x v="0"/>
    <s v="OTH"/>
    <s v="Other Assets"/>
    <s v="Main offices"/>
    <s v="Main offices"/>
    <s v="OTH"/>
    <s v="Chair/ Light Green"/>
    <s v="OTH"/>
    <m/>
    <s v="Chair/ Light Green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3 - Fair (26-45%)"/>
    <m/>
    <s v="Actual Cost"/>
    <n v="3000"/>
    <m/>
    <n v="0"/>
    <n v="0"/>
    <n v="0"/>
    <n v="3000"/>
    <n v="126.36985278748261"/>
    <n v="0"/>
    <m/>
    <m/>
    <n v="-2873.6301472125174"/>
    <m/>
    <s v="NO"/>
    <m/>
    <m/>
    <n v="-125.33966377019337"/>
    <n v="-10.444971980849447"/>
    <m/>
    <s v="Straight line"/>
    <n v="0"/>
    <n v="-2998.9698109827109"/>
    <m/>
    <m/>
    <m/>
    <m/>
    <n v="0"/>
    <n v="1.0301890172891035"/>
    <m/>
    <m/>
    <m/>
    <s v="Purchased"/>
    <s v="Own funding"/>
    <m/>
    <s v="L. Mphafe"/>
    <m/>
    <m/>
    <m/>
    <m/>
    <m/>
  </r>
  <r>
    <n v="1223"/>
    <s v="Open Plan Co business "/>
    <s v="PPE"/>
    <x v="0"/>
    <s v="MOV"/>
    <x v="0"/>
    <s v="OTH"/>
    <x v="0"/>
    <s v="OTH"/>
    <s v="Other Assets"/>
    <s v="Main offices"/>
    <s v="Main offices"/>
    <s v="OTH"/>
    <s v="Mobile Pedestal"/>
    <s v="OTH"/>
    <m/>
    <s v="Mobile Pedestal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3 - Fair (26-45%)"/>
    <m/>
    <s v="Actual Cost"/>
    <n v="5400"/>
    <m/>
    <n v="0"/>
    <n v="0"/>
    <n v="0"/>
    <n v="5400"/>
    <n v="227.46573501746843"/>
    <n v="0"/>
    <m/>
    <m/>
    <n v="-5172.5342649825316"/>
    <m/>
    <s v="NO"/>
    <m/>
    <m/>
    <n v="-225.6113947863478"/>
    <n v="-18.800949565528985"/>
    <m/>
    <s v="Straight line"/>
    <n v="0"/>
    <n v="-5398.1456597688793"/>
    <m/>
    <m/>
    <m/>
    <m/>
    <n v="0"/>
    <n v="1.8543402311206592"/>
    <m/>
    <m/>
    <m/>
    <s v="Purchased"/>
    <s v="Own funding"/>
    <m/>
    <s v="SC. Thobejane"/>
    <m/>
    <m/>
    <m/>
    <m/>
    <m/>
  </r>
  <r>
    <n v="1226"/>
    <s v="Open plan finance"/>
    <s v="PPE"/>
    <x v="0"/>
    <s v="MOV"/>
    <x v="0"/>
    <s v="OTH"/>
    <x v="0"/>
    <s v="OTH"/>
    <s v="Other Assets"/>
    <s v="Main offices"/>
    <s v="Main offices"/>
    <s v="OTH"/>
    <s v="Mobile Pedestal"/>
    <s v="OTH"/>
    <m/>
    <s v="Mobile Pedestal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5400"/>
    <m/>
    <n v="0"/>
    <n v="0"/>
    <n v="0"/>
    <n v="5400"/>
    <n v="227.46573501746843"/>
    <n v="0"/>
    <m/>
    <m/>
    <n v="-5172.5342649825316"/>
    <m/>
    <s v="NO"/>
    <m/>
    <m/>
    <n v="-225.6113947863478"/>
    <n v="-18.800949565528985"/>
    <m/>
    <s v="Straight line"/>
    <n v="0"/>
    <n v="-5398.1456597688793"/>
    <m/>
    <m/>
    <m/>
    <m/>
    <n v="0"/>
    <n v="1.8543402311206592"/>
    <m/>
    <m/>
    <m/>
    <s v="Purchased"/>
    <s v="Own funding"/>
    <m/>
    <s v="N.Ndlovu"/>
    <m/>
    <m/>
    <m/>
    <m/>
    <m/>
  </r>
  <r>
    <n v="1227"/>
    <s v="Open plan co- business "/>
    <s v="PPE"/>
    <x v="0"/>
    <s v="MOV"/>
    <x v="0"/>
    <s v="OTH"/>
    <x v="0"/>
    <s v="OTH"/>
    <s v="Other Assets"/>
    <s v="Main offices"/>
    <s v="Main offices"/>
    <s v="OTH"/>
    <s v="Mobile Pedestal"/>
    <s v="OTH"/>
    <m/>
    <s v="Mobile Pedestal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5400"/>
    <m/>
    <n v="0"/>
    <n v="0"/>
    <n v="0"/>
    <n v="5400"/>
    <n v="227.46573501746843"/>
    <n v="0"/>
    <m/>
    <m/>
    <n v="-5172.5342649825316"/>
    <m/>
    <s v="NO"/>
    <m/>
    <m/>
    <n v="-225.6113947863478"/>
    <n v="-18.800949565528985"/>
    <m/>
    <s v="Straight line"/>
    <n v="0"/>
    <n v="-5398.1456597688793"/>
    <m/>
    <m/>
    <m/>
    <m/>
    <n v="0"/>
    <n v="1.8543402311206592"/>
    <m/>
    <m/>
    <m/>
    <s v="Purchased"/>
    <s v="Own funding"/>
    <m/>
    <s v="M. Maponyana"/>
    <m/>
    <m/>
    <m/>
    <m/>
    <m/>
  </r>
  <r>
    <n v="1228"/>
    <s v="Open Plan core business"/>
    <s v="PPE"/>
    <x v="0"/>
    <s v="MOV"/>
    <x v="0"/>
    <s v="OTH"/>
    <x v="0"/>
    <s v="OTH"/>
    <s v="Other Assets"/>
    <s v="Main offices"/>
    <s v="Main offices"/>
    <s v="OTH"/>
    <s v="Mobile Pedestal"/>
    <s v="OTH"/>
    <m/>
    <s v="Mobile Pedestal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5400"/>
    <m/>
    <n v="0"/>
    <n v="0"/>
    <n v="0"/>
    <n v="5400"/>
    <n v="227.46573501746843"/>
    <n v="0"/>
    <m/>
    <m/>
    <n v="-5172.5342649825316"/>
    <m/>
    <s v="NO"/>
    <m/>
    <m/>
    <n v="-225.6113947863478"/>
    <n v="-18.800949565528985"/>
    <m/>
    <s v="Straight line"/>
    <n v="0"/>
    <n v="-5398.1456597688793"/>
    <m/>
    <m/>
    <m/>
    <m/>
    <n v="0"/>
    <n v="1.8543402311206592"/>
    <m/>
    <m/>
    <m/>
    <s v="Purchased"/>
    <s v="Own funding"/>
    <m/>
    <s v="S. Zimela"/>
    <m/>
    <m/>
    <m/>
    <m/>
    <m/>
  </r>
  <r>
    <n v="1229"/>
    <s v="Open Plan core business"/>
    <s v="PPE"/>
    <x v="0"/>
    <s v="MOV"/>
    <x v="0"/>
    <s v="OTH"/>
    <x v="0"/>
    <s v="OTH"/>
    <s v="Other Assets"/>
    <s v="Main offices"/>
    <s v="Main offices"/>
    <s v="OTH"/>
    <s v="Mobile Pedestal"/>
    <s v="OTH"/>
    <m/>
    <s v="Mobile Pedestal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5400"/>
    <m/>
    <n v="0"/>
    <n v="0"/>
    <n v="0"/>
    <n v="5400"/>
    <n v="227.46573501746843"/>
    <n v="0"/>
    <m/>
    <m/>
    <n v="-5172.5342649825316"/>
    <m/>
    <s v="NO"/>
    <m/>
    <m/>
    <n v="-225.6113947863478"/>
    <n v="-18.800949565528985"/>
    <m/>
    <s v="Straight line"/>
    <n v="0"/>
    <n v="-5398.1456597688793"/>
    <m/>
    <m/>
    <m/>
    <m/>
    <n v="0"/>
    <n v="1.8543402311206592"/>
    <m/>
    <m/>
    <m/>
    <s v="Purchased"/>
    <s v="Own funding"/>
    <m/>
    <s v="S. Zimela"/>
    <m/>
    <m/>
    <m/>
    <m/>
    <m/>
  </r>
  <r>
    <n v="1231"/>
    <s v="Open Plan core business"/>
    <s v="PPE"/>
    <x v="0"/>
    <s v="MOV"/>
    <x v="0"/>
    <s v="OTH"/>
    <x v="0"/>
    <s v="OTH"/>
    <s v="Other Assets"/>
    <s v="Main offices"/>
    <s v="Main offices"/>
    <s v="OTH"/>
    <s v="Mobile Pedestal"/>
    <s v="OTH"/>
    <m/>
    <s v="Mobile Pedestal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5400"/>
    <m/>
    <n v="0"/>
    <n v="0"/>
    <n v="0"/>
    <n v="5400"/>
    <n v="227.46573501746843"/>
    <n v="0"/>
    <m/>
    <m/>
    <n v="-5172.5342649825316"/>
    <m/>
    <s v="NO"/>
    <m/>
    <m/>
    <n v="-225.6113947863478"/>
    <n v="-18.800949565528985"/>
    <m/>
    <s v="Straight line"/>
    <n v="0"/>
    <n v="-5398.1456597688793"/>
    <m/>
    <m/>
    <m/>
    <m/>
    <n v="0"/>
    <n v="1.8543402311206592"/>
    <m/>
    <m/>
    <m/>
    <s v="Purchased"/>
    <s v="Own funding"/>
    <m/>
    <s v="K.S Mojapelo"/>
    <m/>
    <m/>
    <m/>
    <m/>
    <m/>
  </r>
  <r>
    <n v="1232"/>
    <s v="R22"/>
    <s v="PPE"/>
    <x v="0"/>
    <s v="MOV"/>
    <x v="0"/>
    <s v="OTH"/>
    <x v="0"/>
    <s v="OTH"/>
    <s v="Other Assets"/>
    <s v="Main offices"/>
    <s v="Main offices"/>
    <s v="OTH"/>
    <s v="Mobile Pedestal"/>
    <s v="OTH"/>
    <m/>
    <s v="Mobile Pedestal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5400"/>
    <m/>
    <n v="0"/>
    <n v="0"/>
    <n v="0"/>
    <n v="5400"/>
    <n v="227.46573501746843"/>
    <n v="0"/>
    <m/>
    <m/>
    <n v="-5172.5342649825316"/>
    <m/>
    <s v="NO"/>
    <m/>
    <m/>
    <n v="-225.6113947863478"/>
    <n v="-18.800949565528985"/>
    <m/>
    <s v="Straight line"/>
    <n v="0"/>
    <n v="-5398.1456597688793"/>
    <m/>
    <m/>
    <m/>
    <m/>
    <n v="0"/>
    <n v="1.8543402311206592"/>
    <m/>
    <m/>
    <m/>
    <s v="Purchased"/>
    <s v="Own funding"/>
    <m/>
    <s v="S.P Pudikabekwa "/>
    <m/>
    <m/>
    <m/>
    <m/>
    <m/>
  </r>
  <r>
    <n v="1234"/>
    <s v="Open Plan finance"/>
    <s v="PPE"/>
    <x v="0"/>
    <s v="MOV"/>
    <x v="0"/>
    <s v="OTH"/>
    <x v="0"/>
    <s v="OTH"/>
    <s v="Other Assets"/>
    <s v="Main offices"/>
    <s v="Main offices"/>
    <s v="OTH"/>
    <s v="Mobile Pedestal"/>
    <s v="OTH"/>
    <m/>
    <s v="Mobile Pedestal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5400"/>
    <m/>
    <n v="0"/>
    <n v="0"/>
    <n v="0"/>
    <n v="5400"/>
    <n v="227.46573501746843"/>
    <n v="0"/>
    <m/>
    <m/>
    <n v="-5172.5342649825316"/>
    <m/>
    <s v="NO"/>
    <m/>
    <m/>
    <n v="-225.6113947863478"/>
    <n v="-18.800949565528985"/>
    <m/>
    <s v="Straight line"/>
    <n v="0"/>
    <n v="-5398.1456597688793"/>
    <m/>
    <m/>
    <m/>
    <m/>
    <n v="0"/>
    <n v="1.8543402311206592"/>
    <m/>
    <m/>
    <m/>
    <s v="Purchased"/>
    <s v="Own funding"/>
    <m/>
    <s v="S. Skenjana"/>
    <m/>
    <m/>
    <m/>
    <m/>
    <m/>
  </r>
  <r>
    <n v="1235"/>
    <s v="Open plan Communication"/>
    <s v="PPE"/>
    <x v="0"/>
    <s v="MOV"/>
    <x v="0"/>
    <s v="OTH"/>
    <x v="0"/>
    <s v="OTH"/>
    <s v="Other Assets"/>
    <s v="Main offices"/>
    <s v="Main offices"/>
    <s v="OTH"/>
    <s v="Mobile Pedestal"/>
    <s v="OTH"/>
    <m/>
    <s v="Mobile Pedestal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5400"/>
    <m/>
    <n v="0"/>
    <n v="0"/>
    <n v="0"/>
    <n v="5400"/>
    <n v="227.46573501746843"/>
    <n v="0"/>
    <m/>
    <m/>
    <n v="-5172.5342649825316"/>
    <m/>
    <s v="NO"/>
    <m/>
    <m/>
    <n v="-225.6113947863478"/>
    <n v="-18.800949565528985"/>
    <m/>
    <s v="Straight line"/>
    <n v="0"/>
    <n v="-5398.1456597688793"/>
    <m/>
    <m/>
    <m/>
    <m/>
    <n v="0"/>
    <n v="1.8543402311206592"/>
    <m/>
    <m/>
    <m/>
    <s v="Purchased"/>
    <s v="Own funding"/>
    <m/>
    <s v="S.Mabhura"/>
    <m/>
    <m/>
    <m/>
    <m/>
    <m/>
  </r>
  <r>
    <n v="1236"/>
    <s v="Open Plan finance"/>
    <s v="PPE"/>
    <x v="0"/>
    <s v="MOV"/>
    <x v="0"/>
    <s v="OTH"/>
    <x v="0"/>
    <s v="OTH"/>
    <s v="Other Assets"/>
    <s v="Main offices"/>
    <s v="Main offices"/>
    <s v="OTH"/>
    <s v="Mobile Pedestal"/>
    <s v="OTH"/>
    <m/>
    <s v="Mobile Pedestal"/>
    <s v="Cost Model"/>
    <s v="Owned"/>
    <s v="Core"/>
    <x v="0"/>
    <s v="Finance and Administration : Asset Management"/>
    <s v="FX005002001000000000000000000000000"/>
    <s v="IA002015001018001001000000000000000000"/>
    <n v="1"/>
    <s v="04/07/2018"/>
    <d v="2018-07-04T00:00:00"/>
    <s v="NO"/>
    <s v="Yes"/>
    <d v="2022-03-31T00:00:00"/>
    <s v="NA - Actual Cost"/>
    <n v="6"/>
    <n v="0"/>
    <n v="0"/>
    <s v="No Change"/>
    <m/>
    <m/>
    <n v="1.0082191780821916"/>
    <m/>
    <n v="1.0082191780821916"/>
    <n v="8.219178082191636E-3"/>
    <s v="2 - Good  (46-70%)"/>
    <m/>
    <s v="Actual Cost"/>
    <n v="5400"/>
    <m/>
    <n v="0"/>
    <n v="0"/>
    <n v="0"/>
    <n v="5400"/>
    <n v="227.46573501746843"/>
    <n v="0"/>
    <m/>
    <m/>
    <n v="-5172.5342649825316"/>
    <m/>
    <s v="NO"/>
    <m/>
    <m/>
    <n v="-225.6113947863478"/>
    <n v="-18.800949565528985"/>
    <m/>
    <s v="Straight line"/>
    <n v="0"/>
    <n v="-5398.1456597688793"/>
    <m/>
    <m/>
    <m/>
    <m/>
    <n v="0"/>
    <n v="1.8543402311206592"/>
    <m/>
    <m/>
    <m/>
    <s v="Purchased"/>
    <s v="Own funding"/>
    <m/>
    <s v="L. Zwane"/>
    <m/>
    <m/>
    <m/>
    <m/>
    <m/>
  </r>
  <r>
    <s v="NHC000725"/>
    <s v="R4 main boardroom "/>
    <s v="PPE"/>
    <x v="0"/>
    <s v="MOV"/>
    <x v="0"/>
    <s v="OTH"/>
    <x v="0"/>
    <s v="OTH"/>
    <s v="Other Assets"/>
    <s v="Main offices"/>
    <s v="Main offices"/>
    <s v="OTH"/>
    <s v="CHAIR VISITOR"/>
    <s v="OTH"/>
    <m/>
    <s v="CHAIR VISITOR"/>
    <s v="Cost Model"/>
    <s v="Owned"/>
    <s v="Core"/>
    <x v="0"/>
    <s v="Finance and Administration : Asset Management"/>
    <s v="FX005002001000000000000000000000000"/>
    <s v="IA002015001018001001000000000000000000"/>
    <n v="1"/>
    <s v="16/09/2013"/>
    <d v="2013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600"/>
    <m/>
    <n v="0"/>
    <n v="0"/>
    <n v="0"/>
    <n v="1600"/>
    <n v="88.888888888888687"/>
    <n v="0"/>
    <m/>
    <m/>
    <n v="-1511.1111111111113"/>
    <m/>
    <s v="NO"/>
    <m/>
    <m/>
    <n v="-88.888888888888687"/>
    <n v="-7.4074074074073906"/>
    <m/>
    <s v="Straight line"/>
    <n v="0"/>
    <n v="-1600"/>
    <m/>
    <m/>
    <m/>
    <m/>
    <n v="0"/>
    <n v="0"/>
    <m/>
    <m/>
    <m/>
    <s v="Purchased"/>
    <s v="Own funding"/>
    <m/>
    <s v="S. Skenjana"/>
    <m/>
    <m/>
    <m/>
    <m/>
    <m/>
  </r>
  <r>
    <n v="1190"/>
    <s v="Open Plan HR"/>
    <s v="PPE"/>
    <x v="0"/>
    <s v="MOV"/>
    <x v="0"/>
    <s v="OTH"/>
    <x v="0"/>
    <s v="OTH"/>
    <s v="Other Assets"/>
    <s v="Main offices"/>
    <s v="Main offices"/>
    <s v="OTH"/>
    <s v="Chair"/>
    <s v="OTH"/>
    <m/>
    <s v="Chair"/>
    <s v="Cost Model"/>
    <s v="Owned"/>
    <s v="Core"/>
    <x v="0"/>
    <s v="Finance and Administration : Asset Management"/>
    <s v="FX005002001000000000000000000000000"/>
    <s v="IA002015001018001001000000000000000000"/>
    <n v="1"/>
    <s v="26/06/2007"/>
    <d v="2007-06-26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3967.63"/>
    <m/>
    <n v="0"/>
    <n v="0"/>
    <n v="0"/>
    <n v="3967.63"/>
    <n v="220.42388888888854"/>
    <n v="0"/>
    <m/>
    <m/>
    <n v="-3747.2061111111116"/>
    <m/>
    <s v="NO"/>
    <m/>
    <m/>
    <n v="-220.42388888888854"/>
    <n v="-18.36865740740738"/>
    <m/>
    <s v="Straight line"/>
    <n v="0"/>
    <n v="-3967.63"/>
    <m/>
    <m/>
    <m/>
    <m/>
    <n v="0"/>
    <n v="0"/>
    <m/>
    <m/>
    <m/>
    <s v="Purchased"/>
    <s v="Own funding"/>
    <m/>
    <s v="M. Serebolo"/>
    <m/>
    <m/>
    <m/>
    <m/>
    <m/>
  </r>
  <r>
    <s v="NHC000200"/>
    <s v="R18"/>
    <s v="PPE"/>
    <x v="0"/>
    <s v="MOV"/>
    <x v="0"/>
    <s v="OTH"/>
    <x v="1"/>
    <s v="OTH"/>
    <s v="Other Assets"/>
    <s v="Main offices"/>
    <s v="Main offices"/>
    <s v="OTH"/>
    <s v="Defy 361 Combi Fridge"/>
    <s v="OTH"/>
    <m/>
    <s v="Defy 361 Combi Fridge"/>
    <s v="Cost Model"/>
    <s v="Owned"/>
    <s v="Core"/>
    <x v="0"/>
    <s v="Finance and Administration : Asset Management"/>
    <s v="FX005002001000000000000000000000000"/>
    <s v="IA002015001018001001000000000000000000"/>
    <n v="1"/>
    <s v="14/04/2005"/>
    <d v="2005-04-14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699"/>
    <m/>
    <n v="0"/>
    <n v="0"/>
    <n v="0"/>
    <n v="2699"/>
    <n v="149.94444444444434"/>
    <n v="0"/>
    <m/>
    <m/>
    <n v="-2549.0555555555557"/>
    <m/>
    <s v="NO"/>
    <m/>
    <m/>
    <n v="-149.94444444444434"/>
    <n v="-12.495370370370361"/>
    <m/>
    <s v="Straight line"/>
    <n v="0"/>
    <n v="-2699"/>
    <m/>
    <m/>
    <m/>
    <m/>
    <n v="0"/>
    <n v="0"/>
    <m/>
    <m/>
    <m/>
    <s v="Purchased"/>
    <s v="Own funding"/>
    <m/>
    <s v="S.Skenjana"/>
    <m/>
    <m/>
    <m/>
    <m/>
    <m/>
  </r>
  <r>
    <s v="NHC000403"/>
    <n v="0"/>
    <s v="PPE"/>
    <x v="0"/>
    <s v="MOV"/>
    <x v="0"/>
    <s v="OTH"/>
    <x v="1"/>
    <s v="OTH"/>
    <s v="Other Assets"/>
    <s v="Main offices"/>
    <s v="Main offices"/>
    <s v="OTH"/>
    <s v="Sansui DVD Player"/>
    <s v="OTH"/>
    <m/>
    <s v="Sansui DVD Player"/>
    <s v="Cost Model"/>
    <s v="Owned"/>
    <s v="Core"/>
    <x v="0"/>
    <s v="Finance and Administration : Asset Management"/>
    <s v="FX005002001000000000000000000000000"/>
    <s v="IA002015001018001001000000000000000000"/>
    <n v="1"/>
    <s v="11/03/2008"/>
    <d v="2008-03-11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439.96"/>
    <m/>
    <n v="0"/>
    <n v="0"/>
    <n v="0"/>
    <n v="439.96"/>
    <n v="24.442222222222256"/>
    <n v="0"/>
    <m/>
    <m/>
    <n v="-415.51777777777772"/>
    <m/>
    <s v="NO"/>
    <m/>
    <m/>
    <n v="-24.442222222222256"/>
    <n v="-2.0368518518518548"/>
    <m/>
    <s v="Straight line"/>
    <n v="0"/>
    <n v="-439.96"/>
    <m/>
    <m/>
    <m/>
    <m/>
    <n v="0"/>
    <n v="0"/>
    <m/>
    <m/>
    <m/>
    <s v="Purchased"/>
    <s v="Own funding"/>
    <m/>
    <n v="0"/>
    <m/>
    <m/>
    <m/>
    <m/>
    <m/>
  </r>
  <r>
    <s v="NHC000406"/>
    <n v="0"/>
    <s v="PPE"/>
    <x v="0"/>
    <s v="MOV"/>
    <x v="0"/>
    <s v="OTH"/>
    <x v="1"/>
    <s v="OTH"/>
    <s v="Other Assets"/>
    <s v="Main offices"/>
    <s v="Main offices"/>
    <s v="OTH"/>
    <s v="VCR"/>
    <s v="OTH"/>
    <m/>
    <s v="VCR"/>
    <s v="Cost Model"/>
    <s v="Owned"/>
    <s v="Core"/>
    <x v="0"/>
    <s v="Finance and Administration : Asset Management"/>
    <s v="FX005002001000000000000000000000000"/>
    <s v="IA002015001018001001000000000000000000"/>
    <n v="1"/>
    <s v="28/05/2008"/>
    <d v="2008-05-28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399"/>
    <m/>
    <n v="0"/>
    <n v="0"/>
    <n v="0"/>
    <n v="399"/>
    <n v="22.166666666666629"/>
    <n v="0"/>
    <m/>
    <m/>
    <n v="-376.83333333333337"/>
    <m/>
    <s v="NO"/>
    <m/>
    <m/>
    <n v="-22.166666666666629"/>
    <n v="-1.847222222222219"/>
    <m/>
    <s v="Straight line"/>
    <n v="0"/>
    <n v="-399"/>
    <m/>
    <m/>
    <m/>
    <m/>
    <n v="0"/>
    <n v="0"/>
    <m/>
    <m/>
    <m/>
    <s v="Purchased"/>
    <s v="Own funding"/>
    <m/>
    <n v="0"/>
    <m/>
    <m/>
    <m/>
    <m/>
    <m/>
  </r>
  <r>
    <s v="NHC000482"/>
    <s v="R28 Core business"/>
    <s v="PPE"/>
    <x v="0"/>
    <s v="MOV"/>
    <x v="0"/>
    <s v="OTH"/>
    <x v="1"/>
    <s v="OTH"/>
    <s v="Other Assets"/>
    <s v="Main offices"/>
    <s v="Main offices"/>
    <s v="OTH"/>
    <s v="Samsung Bar Fridge"/>
    <s v="OTH"/>
    <m/>
    <s v="Samsung Bar Fridge"/>
    <s v="Cost Model"/>
    <s v="Owned"/>
    <s v="Core"/>
    <x v="0"/>
    <s v="Finance and Administration : Asset Management"/>
    <s v="FX005002001000000000000000000000000"/>
    <s v="IA002015001018001001000000000000000000"/>
    <n v="1"/>
    <s v="08/05/2009"/>
    <d v="2009-05-08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968.11"/>
    <m/>
    <n v="0"/>
    <n v="0"/>
    <n v="0"/>
    <n v="1968.11"/>
    <n v="109.33944444444455"/>
    <n v="0"/>
    <m/>
    <m/>
    <n v="-1858.7705555555553"/>
    <m/>
    <s v="NO"/>
    <m/>
    <m/>
    <n v="-109.33944444444455"/>
    <n v="-9.11162037037038"/>
    <m/>
    <s v="Straight line"/>
    <n v="0"/>
    <n v="-1968.11"/>
    <m/>
    <m/>
    <m/>
    <m/>
    <n v="0"/>
    <n v="0"/>
    <m/>
    <m/>
    <m/>
    <s v="Purchased"/>
    <s v="Own funding"/>
    <m/>
    <s v="M. Tawane"/>
    <m/>
    <m/>
    <m/>
    <m/>
    <m/>
  </r>
  <r>
    <s v="NHC000483"/>
    <s v="R8 executive office"/>
    <s v="PPE"/>
    <x v="0"/>
    <s v="MOV"/>
    <x v="0"/>
    <s v="OTH"/>
    <x v="1"/>
    <s v="OTH"/>
    <s v="Other Assets"/>
    <s v="Main offices"/>
    <s v="Main offices"/>
    <s v="OTH"/>
    <s v="Samsung Bar Fridge"/>
    <s v="OTH"/>
    <m/>
    <s v="Samsung Bar Fridge"/>
    <s v="Cost Model"/>
    <s v="Owned"/>
    <s v="Core"/>
    <x v="0"/>
    <s v="Finance and Administration : Asset Management"/>
    <s v="FX005002001000000000000000000000000"/>
    <s v="IA002015001018001001000000000000000000"/>
    <n v="1"/>
    <s v="08/05/2009"/>
    <d v="2009-05-08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9968.11"/>
    <m/>
    <n v="0"/>
    <n v="0"/>
    <n v="0"/>
    <n v="9968.11"/>
    <n v="553.78388888888912"/>
    <n v="0"/>
    <m/>
    <m/>
    <n v="-9414.3261111111115"/>
    <m/>
    <s v="NO"/>
    <m/>
    <m/>
    <n v="-553.78388888888912"/>
    <n v="-46.148657407407427"/>
    <m/>
    <s v="Straight line"/>
    <n v="0"/>
    <n v="-9968.11"/>
    <m/>
    <m/>
    <m/>
    <m/>
    <n v="0"/>
    <n v="0"/>
    <m/>
    <m/>
    <m/>
    <s v="Purchased"/>
    <s v="Own funding"/>
    <m/>
    <s v="N. Ngabeni"/>
    <m/>
    <m/>
    <m/>
    <m/>
    <m/>
  </r>
  <r>
    <s v="NHC000852"/>
    <s v="R10 executive offices "/>
    <s v="PPE"/>
    <x v="0"/>
    <s v="MOV"/>
    <x v="0"/>
    <s v="OTH"/>
    <x v="1"/>
    <s v="OTH"/>
    <s v="Other Assets"/>
    <s v="Main offices"/>
    <s v="Main offices"/>
    <s v="OTH"/>
    <s v="Shredder"/>
    <s v="OTH"/>
    <m/>
    <s v="Shredder"/>
    <s v="Cost Model"/>
    <s v="Owned"/>
    <s v="Core"/>
    <x v="0"/>
    <s v="Finance and Administration : Asset Management"/>
    <s v="FX005002001000000000000000000000000"/>
    <s v="IA002015001018001001000000000000000000"/>
    <n v="1"/>
    <s v="17/05/2011"/>
    <d v="2011-05-17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8688.849999999999"/>
    <m/>
    <n v="0"/>
    <n v="0"/>
    <n v="0"/>
    <n v="18688.849999999999"/>
    <n v="1038.2694444444423"/>
    <n v="0"/>
    <m/>
    <m/>
    <n v="-17650.580555555556"/>
    <m/>
    <s v="NO"/>
    <m/>
    <m/>
    <n v="-1038.2694444444423"/>
    <n v="-86.522453703703533"/>
    <m/>
    <s v="Straight line"/>
    <n v="0"/>
    <n v="-18688.849999999999"/>
    <m/>
    <m/>
    <m/>
    <m/>
    <n v="0"/>
    <n v="0"/>
    <m/>
    <m/>
    <m/>
    <s v="Purchased"/>
    <s v="Own funding"/>
    <m/>
    <s v="M. Chamane"/>
    <m/>
    <m/>
    <m/>
    <m/>
    <m/>
  </r>
  <r>
    <s v="NHC00817"/>
    <n v="0"/>
    <s v="PPE"/>
    <x v="0"/>
    <s v="MOV"/>
    <x v="0"/>
    <s v="OTH"/>
    <x v="1"/>
    <s v="OTH"/>
    <s v="Other Assets"/>
    <s v="Main offices"/>
    <s v="Main offices"/>
    <s v="OTH"/>
    <s v="Aluminium briefcase with foam cut outs"/>
    <s v="OTH"/>
    <m/>
    <s v="Aluminium briefcase with foam cut outs"/>
    <s v="Cost Model"/>
    <s v="Owned"/>
    <s v="Core"/>
    <x v="0"/>
    <s v="Finance and Administration : Asset Management"/>
    <s v="FX005002001000000000000000000000000"/>
    <s v="IA002015001018001001000000000000000000"/>
    <n v="1"/>
    <s v="01/03/2005"/>
    <d v="2005-03-01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4722.09"/>
    <m/>
    <n v="0"/>
    <n v="0"/>
    <n v="0"/>
    <n v="4722.09"/>
    <n v="269"/>
    <n v="0"/>
    <m/>
    <m/>
    <n v="-4453.09"/>
    <m/>
    <s v="NO"/>
    <m/>
    <m/>
    <n v="-269"/>
    <n v="-22.416666666666668"/>
    <m/>
    <s v="Straight line"/>
    <n v="0"/>
    <n v="-4722.09"/>
    <m/>
    <m/>
    <m/>
    <m/>
    <n v="0"/>
    <n v="0"/>
    <m/>
    <m/>
    <m/>
    <s v="Purchased"/>
    <s v="Own funding"/>
    <m/>
    <n v="0"/>
    <m/>
    <m/>
    <m/>
    <m/>
    <m/>
  </r>
  <r>
    <s v="NHC 000773"/>
    <s v="R33"/>
    <s v="PPE"/>
    <x v="0"/>
    <s v="MOV"/>
    <x v="0"/>
    <s v="OTH"/>
    <x v="1"/>
    <s v="OTH"/>
    <s v="Other Assets"/>
    <s v="Main offices"/>
    <s v="Main offices"/>
    <s v="OTH"/>
    <s v="Salton Heater"/>
    <s v="OTH"/>
    <m/>
    <s v="Salton Heater"/>
    <s v="Cost Model"/>
    <s v="Owned"/>
    <s v="Core"/>
    <x v="0"/>
    <s v="Finance and Administration : Asset Management"/>
    <s v="FX005002001000000000000000000000000"/>
    <s v="IA002015001018001001000000000000000000"/>
    <n v="1"/>
    <s v="09/06/2009"/>
    <d v="2009-06-09T00:00:00"/>
    <s v="NO"/>
    <s v="Yes"/>
    <d v="2022-03-31T00:00:00"/>
    <s v="NA - Actual Cost"/>
    <n v="6"/>
    <n v="0"/>
    <n v="0"/>
    <s v="No Change"/>
    <m/>
    <m/>
    <n v="1"/>
    <m/>
    <n v="1"/>
    <n v="0"/>
    <s v="4 - Poor (11-25%)"/>
    <m/>
    <s v="Actual Cost"/>
    <n v="289"/>
    <m/>
    <n v="0"/>
    <n v="0"/>
    <n v="0"/>
    <n v="289"/>
    <n v="16.055555555555543"/>
    <n v="0"/>
    <m/>
    <m/>
    <n v="-272.94444444444446"/>
    <m/>
    <s v="NO"/>
    <m/>
    <m/>
    <n v="-16.055555555555543"/>
    <n v="-1.3379629629629619"/>
    <m/>
    <s v="Straight line"/>
    <n v="0"/>
    <n v="-289"/>
    <m/>
    <m/>
    <m/>
    <m/>
    <n v="0"/>
    <n v="0"/>
    <m/>
    <m/>
    <m/>
    <s v="Purchased"/>
    <s v="Own funding"/>
    <m/>
    <s v="S. Skenjana"/>
    <m/>
    <m/>
    <m/>
    <m/>
    <m/>
  </r>
  <r>
    <s v="NHC000652-2"/>
    <s v="Open plan co- business "/>
    <s v="PPE"/>
    <x v="0"/>
    <s v="MOV"/>
    <x v="0"/>
    <s v="OTH"/>
    <x v="1"/>
    <s v="OTH"/>
    <s v="Other Assets"/>
    <s v="Main offices"/>
    <s v="Main offices"/>
    <s v="OTH"/>
    <s v="shredder rexel"/>
    <s v="OTH"/>
    <m/>
    <s v="shredder rexel"/>
    <s v="Cost Model"/>
    <s v="Owned"/>
    <s v="Core"/>
    <x v="0"/>
    <s v="Finance and Administration : Asset Management"/>
    <s v="FX005002001000000000000000000000000"/>
    <s v="IA002015001018001001000000000000000000"/>
    <n v="1"/>
    <s v="06/03/2013"/>
    <d v="2013-03-0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3037.45"/>
    <m/>
    <n v="0"/>
    <n v="0"/>
    <n v="0"/>
    <n v="23037.45"/>
    <n v="1279.8583333333336"/>
    <n v="0"/>
    <m/>
    <m/>
    <n v="-21757.591666666667"/>
    <m/>
    <s v="NO"/>
    <m/>
    <m/>
    <n v="-1279.8583333333336"/>
    <n v="-106.65486111111113"/>
    <m/>
    <s v="Straight line"/>
    <n v="0"/>
    <n v="-23037.45"/>
    <m/>
    <m/>
    <m/>
    <m/>
    <n v="0"/>
    <n v="0"/>
    <m/>
    <m/>
    <m/>
    <s v="Purchased"/>
    <s v="Own funding"/>
    <m/>
    <s v="S. Zimela"/>
    <m/>
    <m/>
    <m/>
    <m/>
    <m/>
  </r>
  <r>
    <s v="nhc000691-2"/>
    <s v="Open plan finance"/>
    <s v="PPE"/>
    <x v="0"/>
    <s v="MOV"/>
    <x v="0"/>
    <s v="OTH"/>
    <x v="1"/>
    <s v="OTH"/>
    <s v="Other Assets"/>
    <s v="Main offices"/>
    <s v="Main offices"/>
    <s v="OTH"/>
    <s v="schredder rexel"/>
    <s v="OTH"/>
    <m/>
    <s v="schredder rexel"/>
    <s v="Cost Model"/>
    <s v="Owned"/>
    <s v="Core"/>
    <x v="0"/>
    <s v="Finance and Administration : Asset Management"/>
    <s v="FX005002001000000000000000000000000"/>
    <s v="IA002015001018001001000000000000000000"/>
    <n v="1"/>
    <s v="26/03/2013"/>
    <d v="2013-03-2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9368.89"/>
    <m/>
    <n v="0"/>
    <n v="0"/>
    <n v="0"/>
    <n v="19368.89"/>
    <n v="1076.0494444444448"/>
    <n v="0"/>
    <m/>
    <m/>
    <n v="-18292.840555555555"/>
    <m/>
    <s v="NO"/>
    <m/>
    <m/>
    <n v="-1076.0494444444448"/>
    <n v="-89.670787037037073"/>
    <m/>
    <s v="Straight line"/>
    <n v="0"/>
    <n v="-19368.89"/>
    <m/>
    <m/>
    <m/>
    <m/>
    <n v="0"/>
    <n v="0"/>
    <m/>
    <m/>
    <m/>
    <s v="Purchased"/>
    <s v="Own funding"/>
    <m/>
    <s v="S.Skenjana"/>
    <m/>
    <m/>
    <m/>
    <m/>
    <m/>
  </r>
  <r>
    <s v="NHC000667-2"/>
    <s v="R33"/>
    <s v="PPE"/>
    <x v="0"/>
    <s v="MOV"/>
    <x v="0"/>
    <s v="OTH"/>
    <x v="1"/>
    <s v="OTH"/>
    <s v="Other Assets"/>
    <s v="Main offices"/>
    <s v="Main offices"/>
    <s v="OTH"/>
    <s v="SAMSUNG TV 46 3D"/>
    <s v="OTH"/>
    <m/>
    <s v="SAMSUNG TV 46 3D"/>
    <s v="Cost Model"/>
    <s v="Owned"/>
    <s v="Core"/>
    <x v="0"/>
    <s v="Finance and Administration : Asset Management"/>
    <s v="FX005002001000000000000000000000000"/>
    <s v="IA002015001018001001000000000000000000"/>
    <n v="1"/>
    <s v="22/03/2013"/>
    <d v="2013-03-22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5134.59"/>
    <m/>
    <n v="0"/>
    <n v="0"/>
    <n v="0"/>
    <n v="15134.59"/>
    <n v="840.81055555555577"/>
    <n v="0"/>
    <m/>
    <m/>
    <n v="-14293.779444444444"/>
    <m/>
    <s v="NO"/>
    <m/>
    <m/>
    <n v="-840.81055555555577"/>
    <n v="-70.067546296296314"/>
    <m/>
    <s v="Straight line"/>
    <n v="0"/>
    <n v="-15134.59"/>
    <m/>
    <m/>
    <m/>
    <m/>
    <n v="0"/>
    <n v="0"/>
    <m/>
    <m/>
    <m/>
    <s v="Purchased"/>
    <s v="Own funding"/>
    <m/>
    <s v="S.Skenjana"/>
    <m/>
    <m/>
    <m/>
    <m/>
    <m/>
  </r>
  <r>
    <s v="NHC000665-2"/>
    <n v="0"/>
    <s v="PPE"/>
    <x v="0"/>
    <s v="MOV"/>
    <x v="0"/>
    <s v="OTH"/>
    <x v="1"/>
    <s v="OTH"/>
    <s v="Other Assets"/>
    <s v="Main offices"/>
    <s v="Main offices"/>
    <s v="OTH"/>
    <s v="SAMSUNG BLU RAY"/>
    <s v="OTH"/>
    <m/>
    <s v="SAMSUNG BLU RAY"/>
    <s v="Cost Model"/>
    <s v="Owned"/>
    <s v="Core"/>
    <x v="0"/>
    <s v="Finance and Administration : Asset Management"/>
    <s v="FX005002001000000000000000000000000"/>
    <s v="IA002015001018001001000000000000000000"/>
    <n v="1"/>
    <s v="06/03/2013"/>
    <d v="2013-03-06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2522"/>
    <m/>
    <n v="0"/>
    <n v="0"/>
    <n v="0"/>
    <n v="2522"/>
    <n v="140.11111111111131"/>
    <n v="0"/>
    <m/>
    <m/>
    <n v="-2381.8888888888887"/>
    <m/>
    <s v="NO"/>
    <m/>
    <m/>
    <n v="-140.11111111111131"/>
    <n v="-11.675925925925943"/>
    <m/>
    <s v="Straight line"/>
    <n v="0"/>
    <n v="-2522"/>
    <m/>
    <m/>
    <m/>
    <m/>
    <n v="0"/>
    <n v="0"/>
    <m/>
    <m/>
    <m/>
    <s v="Purchased"/>
    <s v="Own funding"/>
    <m/>
    <n v="0"/>
    <m/>
    <m/>
    <m/>
    <m/>
    <m/>
  </r>
  <r>
    <s v="NHC000973"/>
    <s v="R33"/>
    <s v="PPE"/>
    <x v="0"/>
    <s v="MOV"/>
    <x v="0"/>
    <s v="OTH"/>
    <x v="1"/>
    <s v="OTH"/>
    <s v="Other Assets"/>
    <s v="Main offices"/>
    <s v="Main offices"/>
    <s v="OTH"/>
    <s v="LG LCD &quot;32 Col TV"/>
    <s v="OTH"/>
    <m/>
    <s v="LG LCD &quot;32 Col TV"/>
    <s v="Cost Model"/>
    <s v="Owned"/>
    <s v="Core"/>
    <x v="0"/>
    <s v="Finance and Administration : Asset Management"/>
    <s v="FX005002001000000000000000000000000"/>
    <s v="IA002015001018001001000000000000000000"/>
    <n v="1"/>
    <s v="30/04/2005"/>
    <d v="2005-04-30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1290"/>
    <m/>
    <n v="0"/>
    <n v="0"/>
    <n v="0"/>
    <n v="11290"/>
    <n v="627.22222222222263"/>
    <n v="0"/>
    <m/>
    <m/>
    <n v="-10662.777777777777"/>
    <m/>
    <s v="NO"/>
    <m/>
    <m/>
    <n v="-627.22222222222263"/>
    <n v="-52.268518518518555"/>
    <m/>
    <s v="Straight line"/>
    <n v="0"/>
    <n v="-11290"/>
    <m/>
    <m/>
    <m/>
    <m/>
    <n v="0"/>
    <n v="0"/>
    <m/>
    <m/>
    <m/>
    <s v="Purchased"/>
    <s v="Own funding"/>
    <m/>
    <s v="S.Skenjana"/>
    <m/>
    <m/>
    <m/>
    <m/>
    <m/>
  </r>
  <r>
    <s v="NHC00054"/>
    <n v="0"/>
    <s v="PPE"/>
    <x v="0"/>
    <s v="MOV"/>
    <x v="0"/>
    <s v="OTH"/>
    <x v="1"/>
    <s v="OTH"/>
    <s v="Other Assets"/>
    <s v="Main offices"/>
    <s v="Main offices"/>
    <s v="OTH"/>
    <s v="Shredder Rexel (Mar) Oldest"/>
    <s v="OTH"/>
    <m/>
    <s v="Shredder Rexel (Mar) Oldest"/>
    <s v="Cost Model"/>
    <s v="Owned"/>
    <s v="Core"/>
    <x v="0"/>
    <s v="Finance and Administration : Asset Management"/>
    <s v="FX005002001000000000000000000000000"/>
    <s v="IA002015001018001001000000000000000000"/>
    <n v="1"/>
    <s v="15/07/2004"/>
    <d v="2004-07-15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6472"/>
    <m/>
    <n v="0"/>
    <n v="0"/>
    <n v="0"/>
    <n v="6472"/>
    <n v="359.55555555555475"/>
    <n v="0"/>
    <m/>
    <m/>
    <n v="-6112.4444444444453"/>
    <m/>
    <s v="NO"/>
    <m/>
    <m/>
    <n v="-359.55555555555475"/>
    <n v="-29.962962962962894"/>
    <m/>
    <s v="Straight line"/>
    <n v="0"/>
    <n v="-6472"/>
    <m/>
    <m/>
    <m/>
    <m/>
    <n v="0"/>
    <n v="0"/>
    <m/>
    <m/>
    <m/>
    <s v="Purchased"/>
    <s v="Own funding"/>
    <m/>
    <n v="0"/>
    <m/>
    <m/>
    <m/>
    <m/>
    <m/>
  </r>
  <r>
    <s v="NHC000054"/>
    <n v="0"/>
    <s v="PPE"/>
    <x v="0"/>
    <s v="MOV"/>
    <x v="0"/>
    <s v="OTH"/>
    <x v="1"/>
    <s v="OTH"/>
    <s v="Other Assets"/>
    <s v="Main offices"/>
    <s v="Main offices"/>
    <s v="OTH"/>
    <s v="Comb Binder"/>
    <s v="OTH"/>
    <m/>
    <s v="Comb Binder"/>
    <s v="Cost Model"/>
    <s v="Owned"/>
    <s v="Core"/>
    <x v="0"/>
    <s v="Finance and Administration : Asset Management"/>
    <s v="FX005002001000000000000000000000000"/>
    <s v="IA002015001018001001000000000000000000"/>
    <n v="1"/>
    <s v="14/07/2004"/>
    <d v="2004-07-14T00:00:00"/>
    <s v="NO"/>
    <s v="Yes"/>
    <d v="2022-03-31T00:00:00"/>
    <s v="NA - Actual Cost"/>
    <n v="6"/>
    <n v="0"/>
    <n v="0"/>
    <s v="No Change"/>
    <m/>
    <m/>
    <n v="1"/>
    <m/>
    <n v="1"/>
    <n v="0"/>
    <n v="0"/>
    <m/>
    <s v="Actual Cost"/>
    <n v="3696.6"/>
    <m/>
    <n v="0"/>
    <n v="0"/>
    <n v="0"/>
    <n v="3696.6"/>
    <n v="205.36666666666633"/>
    <n v="0"/>
    <m/>
    <m/>
    <n v="-3491.2333333333336"/>
    <m/>
    <s v="NO"/>
    <m/>
    <m/>
    <n v="-205.36666666666633"/>
    <n v="-17.113888888888862"/>
    <m/>
    <s v="Straight line"/>
    <n v="0"/>
    <n v="-3696.6"/>
    <m/>
    <m/>
    <m/>
    <m/>
    <n v="0"/>
    <n v="0"/>
    <m/>
    <m/>
    <m/>
    <s v="Purchased"/>
    <s v="Own funding"/>
    <m/>
    <n v="0"/>
    <m/>
    <m/>
    <m/>
    <m/>
    <m/>
  </r>
  <r>
    <s v="NHC000740"/>
    <s v="Server room finance"/>
    <s v="PPE"/>
    <x v="0"/>
    <s v="MOV"/>
    <x v="0"/>
    <s v="OTH"/>
    <x v="1"/>
    <s v="OTH"/>
    <s v="Other Assets"/>
    <s v="Main offices"/>
    <s v="Main offices"/>
    <s v="OTH"/>
    <s v="Vaccum Cleaner"/>
    <s v="OTH"/>
    <m/>
    <s v="Vaccum Cleaner"/>
    <s v="Cost Model"/>
    <s v="Owned"/>
    <s v="Core"/>
    <x v="0"/>
    <s v="Finance and Administration : Asset Management"/>
    <s v="FX005002001000000000000000000000000"/>
    <s v="IA002015001018001001000000000000000000"/>
    <n v="1"/>
    <s v="30/06/2015"/>
    <d v="2015-06-30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6053.38"/>
    <m/>
    <n v="0"/>
    <n v="0"/>
    <n v="0"/>
    <n v="6053.38"/>
    <n v="336.29888888888945"/>
    <n v="0"/>
    <m/>
    <m/>
    <n v="-5717.0811111111107"/>
    <m/>
    <s v="NO"/>
    <m/>
    <m/>
    <n v="-336.29888888888945"/>
    <n v="-28.024907407407454"/>
    <m/>
    <s v="Straight line"/>
    <n v="0"/>
    <n v="-6053.38"/>
    <m/>
    <m/>
    <m/>
    <m/>
    <n v="0"/>
    <n v="0"/>
    <m/>
    <m/>
    <m/>
    <s v="Purchased"/>
    <s v="Own funding"/>
    <m/>
    <s v="N.Gawula"/>
    <m/>
    <m/>
    <m/>
    <m/>
    <m/>
  </r>
  <r>
    <s v="NHC000787"/>
    <s v="R29"/>
    <s v="PPE"/>
    <x v="0"/>
    <s v="MOV"/>
    <x v="0"/>
    <s v="OTH"/>
    <x v="1"/>
    <s v="OTH"/>
    <s v="Other Assets"/>
    <s v="Main offices"/>
    <s v="Main offices"/>
    <s v="OTH"/>
    <s v="Cocktail Bar Fridge"/>
    <s v="OTH"/>
    <m/>
    <s v="Cocktail Bar Fridge"/>
    <s v="Cost Model"/>
    <s v="Owned"/>
    <s v="Core"/>
    <x v="0"/>
    <s v="Finance and Administration : Asset Management"/>
    <s v="FX005002001000000000000000000000000"/>
    <s v="IA002015001018001001000000000000000000"/>
    <n v="1"/>
    <s v="23/09/2015"/>
    <d v="2015-09-23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3551.67"/>
    <m/>
    <n v="0"/>
    <n v="0"/>
    <n v="0"/>
    <n v="3551.67"/>
    <n v="197.3149999999996"/>
    <n v="0"/>
    <m/>
    <m/>
    <n v="-3354.3550000000005"/>
    <m/>
    <s v="NO"/>
    <m/>
    <m/>
    <n v="-197.3149999999996"/>
    <n v="-16.442916666666633"/>
    <m/>
    <s v="Straight line"/>
    <n v="0"/>
    <n v="-3551.67"/>
    <m/>
    <m/>
    <m/>
    <m/>
    <n v="0"/>
    <n v="0"/>
    <m/>
    <m/>
    <m/>
    <s v="Purchased"/>
    <s v="Own funding"/>
    <m/>
    <s v="A. Mulaudzi"/>
    <m/>
    <m/>
    <m/>
    <m/>
    <m/>
  </r>
  <r>
    <s v="GALAXY S7 GOLD"/>
    <n v="0"/>
    <s v="PPE"/>
    <x v="0"/>
    <s v="MOV"/>
    <x v="0"/>
    <s v="OTH"/>
    <x v="1"/>
    <s v="OTH"/>
    <s v="Other Assets"/>
    <s v="Main offices"/>
    <s v="Main offices"/>
    <s v="OTH"/>
    <s v="SAMSUNG GALAXY S7 GOLD/Lynzi"/>
    <s v="OTH"/>
    <m/>
    <s v="SAMSUNG GALAXY S7 GOLD/Lynzi"/>
    <s v="Cost Model"/>
    <s v="Owned"/>
    <s v="Core"/>
    <x v="0"/>
    <s v="Finance and Administration : Asset Management"/>
    <s v="FX005002001000000000000000000000000"/>
    <s v="IA002015001018001001000000000000000000"/>
    <n v="1"/>
    <s v="03/01/2017"/>
    <d v="2017-01-03T00:00:00"/>
    <s v="NO"/>
    <s v="Yes"/>
    <d v="2022-03-31T00:00:00"/>
    <s v="NA - Actual Cost"/>
    <n v="6"/>
    <n v="0"/>
    <n v="0"/>
    <s v="No Change"/>
    <m/>
    <m/>
    <n v="2.5095890410958903"/>
    <m/>
    <n v="2.5095890410958903"/>
    <n v="1.5095890410958903"/>
    <n v="0"/>
    <m/>
    <s v="Actual Cost"/>
    <n v="15445.58"/>
    <m/>
    <n v="0"/>
    <m/>
    <n v="0"/>
    <n v="15445.58"/>
    <n v="259.35112050312819"/>
    <n v="0"/>
    <m/>
    <m/>
    <n v="-15186.228879496872"/>
    <m/>
    <s v="NO"/>
    <m/>
    <m/>
    <n v="-103.34406002580981"/>
    <n v="-8.6120050021508181"/>
    <m/>
    <s v="Straight line"/>
    <n v="0"/>
    <n v="-15289.572939522681"/>
    <m/>
    <m/>
    <m/>
    <m/>
    <n v="0"/>
    <n v="156.0070604773191"/>
    <m/>
    <m/>
    <m/>
    <s v="Purchased"/>
    <s v="Own funding"/>
    <m/>
    <n v="0"/>
    <m/>
    <m/>
    <m/>
    <m/>
    <m/>
  </r>
  <r>
    <s v="NHC001014"/>
    <s v="Basement parking "/>
    <s v="PPE"/>
    <x v="0"/>
    <s v="MOV"/>
    <x v="0"/>
    <s v="OTH"/>
    <x v="1"/>
    <s v="OTH"/>
    <s v="Other Assets"/>
    <s v="Main offices"/>
    <s v="Main offices"/>
    <s v="OTH"/>
    <s v="Weighing Scale"/>
    <s v="OTH"/>
    <m/>
    <s v="Weighing Scale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s v="3 - Fair (26-45%)"/>
    <m/>
    <s v="Actual Cost"/>
    <n v="6636"/>
    <m/>
    <n v="0"/>
    <n v="0"/>
    <n v="0"/>
    <n v="6636"/>
    <n v="120.53884038353044"/>
    <n v="0"/>
    <m/>
    <m/>
    <n v="-6515.4611596164696"/>
    <m/>
    <s v="NO"/>
    <m/>
    <m/>
    <n v="-70.962381838691329"/>
    <n v="-5.9135318198909443"/>
    <m/>
    <s v="Straight line"/>
    <n v="0"/>
    <n v="-6586.4235414551613"/>
    <m/>
    <m/>
    <m/>
    <m/>
    <n v="0"/>
    <n v="49.576458544838715"/>
    <m/>
    <m/>
    <m/>
    <s v="Purchased"/>
    <s v="Own funding"/>
    <m/>
    <s v="S. Skenjana"/>
    <m/>
    <m/>
    <m/>
    <m/>
    <m/>
  </r>
  <r>
    <s v="NHC001020"/>
    <s v="R18"/>
    <s v="PPE"/>
    <x v="0"/>
    <s v="MOV"/>
    <x v="0"/>
    <s v="OTH"/>
    <x v="1"/>
    <s v="OTH"/>
    <s v="Other Assets"/>
    <s v="Main offices"/>
    <s v="Main offices"/>
    <s v="OTH"/>
    <s v="Microwave"/>
    <s v="OTH"/>
    <m/>
    <s v="Microwave"/>
    <s v="Cost Model"/>
    <s v="Owned"/>
    <s v="Core"/>
    <x v="0"/>
    <s v="Finance and Administration : Asset Management"/>
    <s v="FX005002001000000000000000000000000"/>
    <s v="IA002015001018001001000000000000000000"/>
    <n v="1"/>
    <s v="15/03/2017"/>
    <d v="2017-03-15T00:00:00"/>
    <s v="NO"/>
    <s v="Yes"/>
    <d v="2022-03-31T00:00:00"/>
    <s v="NA - Actual Cost"/>
    <n v="6"/>
    <n v="0"/>
    <n v="0"/>
    <s v="No Change"/>
    <m/>
    <m/>
    <n v="1.7041095890410958"/>
    <m/>
    <n v="1.7041095890410958"/>
    <n v="0.70410958904109577"/>
    <s v="2 - Good  (46-70%)"/>
    <m/>
    <s v="Actual Cost"/>
    <n v="3500"/>
    <m/>
    <n v="0"/>
    <n v="0"/>
    <n v="0"/>
    <n v="3500"/>
    <n v="64.05545080124466"/>
    <n v="0"/>
    <m/>
    <m/>
    <n v="-3435.9445491987553"/>
    <m/>
    <s v="NO"/>
    <m/>
    <m/>
    <n v="-37.588809553785055"/>
    <n v="-3.1324007961487546"/>
    <m/>
    <s v="Straight line"/>
    <n v="0"/>
    <n v="-3473.5333587525406"/>
    <m/>
    <m/>
    <m/>
    <m/>
    <n v="0"/>
    <n v="26.466641247459393"/>
    <m/>
    <m/>
    <m/>
    <s v="Purchased"/>
    <s v="Own funding"/>
    <m/>
    <s v="S.Skenjana"/>
    <m/>
    <m/>
    <m/>
    <m/>
    <m/>
  </r>
  <r>
    <s v="Smart Pen"/>
    <n v="0"/>
    <s v="PPE"/>
    <x v="0"/>
    <s v="MOV"/>
    <x v="0"/>
    <s v="OTH"/>
    <x v="1"/>
    <s v="OTH"/>
    <s v="Other Assets"/>
    <s v="Main offices"/>
    <s v="Main offices"/>
    <s v="OTH"/>
    <s v="Echo Smart Pen 2 Gig"/>
    <s v="OTH"/>
    <m/>
    <s v="Echo Smart Pen 2 Gig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n v="0"/>
    <m/>
    <s v="Actual Cost"/>
    <n v="11759.33"/>
    <m/>
    <n v="0"/>
    <n v="0"/>
    <n v="0"/>
    <n v="11759.33"/>
    <n v="213.60115510434298"/>
    <n v="0"/>
    <m/>
    <m/>
    <n v="-11545.728844895657"/>
    <m/>
    <s v="NO"/>
    <m/>
    <m/>
    <n v="-125.74906711787936"/>
    <n v="-10.479088926489947"/>
    <m/>
    <s v="Straight line"/>
    <n v="0"/>
    <n v="-11671.477912013537"/>
    <m/>
    <m/>
    <m/>
    <m/>
    <n v="0"/>
    <n v="87.85208798646272"/>
    <m/>
    <m/>
    <m/>
    <s v="Purchased"/>
    <s v="Own funding"/>
    <m/>
    <n v="0"/>
    <m/>
    <m/>
    <m/>
    <m/>
    <m/>
  </r>
  <r>
    <s v="NHC001018"/>
    <n v="0"/>
    <s v="PPE"/>
    <x v="0"/>
    <s v="MOV"/>
    <x v="0"/>
    <s v="OTH"/>
    <x v="1"/>
    <s v="OTH"/>
    <s v="Other Assets"/>
    <s v="Main offices"/>
    <s v="Main offices"/>
    <s v="OTH"/>
    <s v="E &amp; T Set &amp; Torch"/>
    <s v="OTH"/>
    <m/>
    <s v="E &amp; T Set &amp; Torch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n v="0"/>
    <m/>
    <s v="Actual Cost"/>
    <n v="6652.8"/>
    <m/>
    <n v="0"/>
    <n v="0"/>
    <n v="0"/>
    <n v="6652.8"/>
    <n v="120.84439932318128"/>
    <n v="0"/>
    <m/>
    <m/>
    <n v="-6531.9556006768189"/>
    <m/>
    <s v="NO"/>
    <m/>
    <m/>
    <n v="-71.14226734348577"/>
    <n v="-5.9285222786238139"/>
    <m/>
    <s v="Straight line"/>
    <n v="0"/>
    <n v="-6603.0978680203043"/>
    <m/>
    <m/>
    <m/>
    <m/>
    <n v="0"/>
    <n v="49.702131979695878"/>
    <m/>
    <m/>
    <m/>
    <s v="Purchased"/>
    <s v="Own funding"/>
    <m/>
    <n v="0"/>
    <m/>
    <m/>
    <m/>
    <m/>
    <m/>
  </r>
  <r>
    <s v="NHC001022"/>
    <s v="R9 executive offices "/>
    <s v="PPE"/>
    <x v="0"/>
    <s v="MOV"/>
    <x v="0"/>
    <s v="OTH"/>
    <x v="1"/>
    <s v="OTH"/>
    <s v="Other Assets"/>
    <s v="Main offices"/>
    <s v="Main offices"/>
    <s v="OTH"/>
    <s v="Tape Recorder/Mphafe"/>
    <s v="OTH"/>
    <m/>
    <s v="Tape Recorder/Mphafe"/>
    <s v="Cost Model"/>
    <s v="Owned"/>
    <s v="Core"/>
    <x v="0"/>
    <s v="Finance and Administration : Asset Management"/>
    <s v="FX005002001000000000000000000000000"/>
    <s v="IA002015001018001001000000000000000000"/>
    <n v="1"/>
    <s v="13/03/2017"/>
    <d v="2017-03-13T00:00:00"/>
    <s v="NO"/>
    <s v="Yes"/>
    <d v="2022-03-31T00:00:00"/>
    <s v="NA - Actual Cost"/>
    <n v="6"/>
    <n v="0"/>
    <n v="0"/>
    <s v="No Change"/>
    <m/>
    <m/>
    <n v="1.6986301369863011"/>
    <m/>
    <n v="1.6986301369863011"/>
    <n v="0.69863013698630105"/>
    <s v="2 - Good  (46-70%)"/>
    <m/>
    <s v="Actual Cost"/>
    <n v="9566.4599999999991"/>
    <m/>
    <n v="0"/>
    <n v="0"/>
    <n v="0"/>
    <n v="9566.4599999999991"/>
    <n v="173.76910998307903"/>
    <n v="0"/>
    <m/>
    <m/>
    <n v="-9392.6908900169201"/>
    <m/>
    <s v="NO"/>
    <m/>
    <m/>
    <n v="-102.29955668358687"/>
    <n v="-8.5249630569655732"/>
    <m/>
    <s v="Straight line"/>
    <n v="0"/>
    <n v="-9494.9904467005072"/>
    <m/>
    <m/>
    <m/>
    <m/>
    <n v="0"/>
    <n v="71.469553299491963"/>
    <m/>
    <m/>
    <m/>
    <s v="Purchased"/>
    <s v="Own funding"/>
    <m/>
    <s v="P. Kadi"/>
    <m/>
    <m/>
    <m/>
    <m/>
    <m/>
  </r>
  <r>
    <n v="1067"/>
    <s v="R33"/>
    <s v="PPE"/>
    <x v="0"/>
    <s v="MOV"/>
    <x v="0"/>
    <s v="OTH"/>
    <x v="1"/>
    <s v="OTH"/>
    <s v="Other Assets"/>
    <s v="Main offices"/>
    <s v="Main offices"/>
    <s v="OTH"/>
    <s v="Dstv Decoder (Resource Centre)"/>
    <s v="OTH"/>
    <m/>
    <s v="Dstv Decoder (Resource Centre)"/>
    <s v="Cost Model"/>
    <s v="Owned"/>
    <s v="Core"/>
    <x v="0"/>
    <s v="Finance and Administration : Asset Management"/>
    <s v="FX005002001000000000000000000000000"/>
    <s v="IA002015001018001001000000000000000000"/>
    <n v="1"/>
    <s v="31/07/2017"/>
    <d v="2017-07-31T00:00:00"/>
    <s v="NO"/>
    <s v="Yes"/>
    <d v="2022-03-31T00:00:00"/>
    <s v="NA - Actual Cost"/>
    <n v="6"/>
    <n v="0"/>
    <n v="0"/>
    <s v="No Change"/>
    <m/>
    <m/>
    <n v="8.2191780821918137E-2"/>
    <m/>
    <n v="8.2191780821918137E-2"/>
    <n v="-0.91780821917808186"/>
    <s v="2 - Good  (46-70%)"/>
    <m/>
    <s v="Actual Cost"/>
    <n v="12582.94"/>
    <m/>
    <n v="0"/>
    <n v="0"/>
    <n v="0"/>
    <n v="12582.94"/>
    <n v="4.3569754155123519"/>
    <n v="0"/>
    <m/>
    <m/>
    <n v="-12578.583024584488"/>
    <m/>
    <s v="NO"/>
    <m/>
    <m/>
    <n v="-53.009867555400071"/>
    <n v="-4.4174889629500056"/>
    <m/>
    <s v="Straight line"/>
    <n v="0"/>
    <n v="-12631.592892139888"/>
    <m/>
    <m/>
    <m/>
    <m/>
    <n v="0"/>
    <n v="-48.652892139887626"/>
    <m/>
    <m/>
    <m/>
    <s v="Purchased"/>
    <s v="Own funding"/>
    <m/>
    <s v="S. Skenjana"/>
    <m/>
    <m/>
    <m/>
    <m/>
    <m/>
  </r>
  <r>
    <n v="1068"/>
    <s v="Basement parking "/>
    <s v="PPE"/>
    <x v="0"/>
    <s v="MOV"/>
    <x v="0"/>
    <s v="OTH"/>
    <x v="1"/>
    <s v="OTH"/>
    <s v="Other Assets"/>
    <s v="Main offices"/>
    <s v="Main offices"/>
    <s v="OTH"/>
    <s v="Dstv Decoder (Reception)"/>
    <s v="OTH"/>
    <m/>
    <s v="Dstv Decoder (Reception)"/>
    <s v="Cost Model"/>
    <s v="Owned"/>
    <s v="Core"/>
    <x v="0"/>
    <s v="Finance and Administration : Asset Management"/>
    <s v="FX005002001000000000000000000000000"/>
    <s v="IA002015001018001001000000000000000000"/>
    <n v="1"/>
    <s v="31/07/2017"/>
    <d v="2017-07-31T00:00:00"/>
    <s v="NO"/>
    <s v="Yes"/>
    <d v="2022-03-31T00:00:00"/>
    <s v="NA - Actual Cost"/>
    <n v="6"/>
    <n v="0"/>
    <n v="0"/>
    <s v="No Change"/>
    <m/>
    <m/>
    <n v="8.2191780821918137E-2"/>
    <m/>
    <n v="8.2191780821918137E-2"/>
    <n v="-0.91780821917808186"/>
    <s v="2 - Good  (46-70%)"/>
    <m/>
    <s v="Actual Cost"/>
    <n v="12582.94"/>
    <m/>
    <n v="0"/>
    <n v="0"/>
    <n v="0"/>
    <n v="12582.94"/>
    <n v="4.3569754155123519"/>
    <n v="0"/>
    <m/>
    <m/>
    <n v="-12578.583024584488"/>
    <m/>
    <s v="NO"/>
    <m/>
    <m/>
    <n v="-53.009867555400071"/>
    <n v="-4.4174889629500056"/>
    <m/>
    <s v="Straight line"/>
    <n v="0"/>
    <n v="-12631.592892139888"/>
    <m/>
    <m/>
    <m/>
    <m/>
    <n v="0"/>
    <n v="-48.652892139887626"/>
    <m/>
    <m/>
    <m/>
    <s v="Purchased"/>
    <s v="Own funding"/>
    <m/>
    <s v="S. Skenjana"/>
    <m/>
    <m/>
    <m/>
    <m/>
    <m/>
  </r>
  <r>
    <n v="1069"/>
    <s v="Server room finance"/>
    <s v="PPE"/>
    <x v="0"/>
    <s v="MOV"/>
    <x v="0"/>
    <s v="OTH"/>
    <x v="1"/>
    <s v="OTH"/>
    <s v="Other Assets"/>
    <s v="Main offices"/>
    <s v="Main offices"/>
    <s v="OTH"/>
    <s v="Dstv Decoder"/>
    <s v="OTH"/>
    <m/>
    <s v="Dstv Decoder"/>
    <s v="Cost Model"/>
    <s v="Owned"/>
    <s v="Core"/>
    <x v="0"/>
    <s v="Finance and Administration : Asset Management"/>
    <s v="FX005002001000000000000000000000000"/>
    <s v="IA002015001018001001000000000000000000"/>
    <n v="1"/>
    <s v="31/07/2017"/>
    <d v="2017-07-31T00:00:00"/>
    <s v="NO"/>
    <s v="Yes"/>
    <d v="2022-03-31T00:00:00"/>
    <s v="NA - Actual Cost"/>
    <n v="6"/>
    <n v="0"/>
    <n v="0"/>
    <s v="No Change"/>
    <m/>
    <m/>
    <n v="8.2191780821918137E-2"/>
    <m/>
    <n v="8.2191780821918137E-2"/>
    <n v="-0.91780821917808186"/>
    <s v="2 - Good  (46-70%)"/>
    <m/>
    <s v="Actual Cost"/>
    <n v="12582.94"/>
    <m/>
    <n v="0"/>
    <n v="0"/>
    <n v="0"/>
    <n v="12582.94"/>
    <n v="4.3569754155123519"/>
    <n v="0"/>
    <m/>
    <m/>
    <n v="-12578.583024584488"/>
    <m/>
    <s v="NO"/>
    <m/>
    <m/>
    <n v="-53.009867555400071"/>
    <n v="-4.4174889629500056"/>
    <m/>
    <s v="Straight line"/>
    <n v="0"/>
    <n v="-12631.592892139888"/>
    <m/>
    <m/>
    <m/>
    <m/>
    <n v="0"/>
    <n v="-48.652892139887626"/>
    <m/>
    <m/>
    <m/>
    <s v="Purchased"/>
    <s v="Own funding"/>
    <m/>
    <s v="N.Gawula"/>
    <m/>
    <m/>
    <m/>
    <m/>
    <m/>
  </r>
  <r>
    <n v="1075"/>
    <n v="0"/>
    <s v="PPE"/>
    <x v="0"/>
    <s v="MOV"/>
    <x v="0"/>
    <s v="OTH"/>
    <x v="1"/>
    <s v="OTH"/>
    <s v="Other Assets"/>
    <s v="Main offices"/>
    <s v="Main offices"/>
    <s v="OTH"/>
    <s v="HP LASERJET PRINTER/Amos"/>
    <s v="OTH"/>
    <m/>
    <s v="HP LASERJET PRINTER/Amos"/>
    <s v="Cost Model"/>
    <s v="Owned"/>
    <s v="Core"/>
    <x v="0"/>
    <s v="Finance and Administration : Asset Management"/>
    <s v="FX005002001000000000000000000000000"/>
    <s v="IA002015001018001001000000000000000000"/>
    <n v="1"/>
    <s v="08/11/2017"/>
    <d v="2017-11-08T00:00:00"/>
    <s v="NO"/>
    <s v="Yes"/>
    <d v="2022-03-31T00:00:00"/>
    <s v="NA - Actual Cost"/>
    <n v="6"/>
    <n v="0"/>
    <n v="0"/>
    <s v="No Change"/>
    <m/>
    <m/>
    <n v="0.35616438356164348"/>
    <m/>
    <n v="0.35616438356164348"/>
    <n v="-0.64383561643835652"/>
    <n v="0"/>
    <m/>
    <s v="Actual Cost"/>
    <n v="4930.8999999999996"/>
    <m/>
    <n v="0"/>
    <n v="0"/>
    <n v="0"/>
    <n v="4930.8999999999996"/>
    <n v="29.732894808003948"/>
    <n v="0"/>
    <m/>
    <m/>
    <n v="-4901.1671051919957"/>
    <m/>
    <s v="NO"/>
    <m/>
    <m/>
    <n v="-83.480820037857328"/>
    <n v="-6.956735003154777"/>
    <m/>
    <s v="Straight line"/>
    <n v="0"/>
    <n v="-4984.6479252298532"/>
    <m/>
    <m/>
    <m/>
    <m/>
    <n v="0"/>
    <n v="-53.747925229853536"/>
    <m/>
    <m/>
    <m/>
    <s v="Purchased"/>
    <s v="Own funding"/>
    <m/>
    <n v="0"/>
    <m/>
    <m/>
    <m/>
    <m/>
    <m/>
  </r>
  <r>
    <n v="1096"/>
    <s v="Open plan Risk"/>
    <s v="PPE"/>
    <x v="0"/>
    <s v="MOV"/>
    <x v="0"/>
    <s v="OTH"/>
    <x v="1"/>
    <s v="OTH"/>
    <s v="Other Assets"/>
    <s v="Main offices"/>
    <s v="Main offices"/>
    <s v="OTH"/>
    <s v="BLUETOOTH SCANNER"/>
    <s v="OTH"/>
    <m/>
    <s v="BLUETOOTH SCANNER"/>
    <s v="Cost Model"/>
    <s v="Owned"/>
    <s v="Core"/>
    <x v="0"/>
    <s v="Finance and Administration : Asset Management"/>
    <s v="FX005002001000000000000000000000000"/>
    <s v="IA002015001018001001000000000000000000"/>
    <n v="1"/>
    <s v="16/10/2017"/>
    <d v="2017-10-16T00:00:00"/>
    <s v="NO"/>
    <s v="Yes"/>
    <d v="2022-03-31T00:00:00"/>
    <s v="NA - Actual Cost"/>
    <n v="6"/>
    <n v="0"/>
    <n v="0"/>
    <s v="No Change"/>
    <m/>
    <m/>
    <n v="0.29315068493150687"/>
    <m/>
    <n v="0.29315068493150687"/>
    <n v="-0.70684931506849313"/>
    <s v="2 - Good  (46-70%)"/>
    <m/>
    <s v="Actual Cost"/>
    <n v="5586"/>
    <m/>
    <n v="0"/>
    <n v="0"/>
    <n v="0"/>
    <n v="5586"/>
    <n v="22.822203808618724"/>
    <n v="0"/>
    <m/>
    <m/>
    <n v="-5563.1777961913813"/>
    <m/>
    <s v="NO"/>
    <m/>
    <m/>
    <n v="-77.851442898559199"/>
    <n v="-6.4876202415466002"/>
    <m/>
    <s v="Straight line"/>
    <n v="0"/>
    <n v="-5641.0292390899403"/>
    <m/>
    <m/>
    <m/>
    <m/>
    <n v="0"/>
    <n v="-55.029239089940347"/>
    <m/>
    <m/>
    <m/>
    <s v="Purchased"/>
    <s v="Own funding"/>
    <m/>
    <s v="N.Ngwaila "/>
    <m/>
    <m/>
    <m/>
    <m/>
    <m/>
  </r>
  <r>
    <n v="1239"/>
    <n v="0"/>
    <s v="PPE"/>
    <x v="0"/>
    <s v="MOV"/>
    <x v="0"/>
    <s v="OTH"/>
    <x v="1"/>
    <s v="OTH"/>
    <s v="Other Assets"/>
    <s v="Main offices"/>
    <s v="Main offices"/>
    <s v="OTH"/>
    <s v="Oil Heater"/>
    <s v="OTH"/>
    <m/>
    <s v="Oil Heater"/>
    <s v="Cost Model"/>
    <s v="Owned"/>
    <s v="Core"/>
    <x v="0"/>
    <s v="Finance and Administration : Asset Management"/>
    <s v="FX005002001000000000000000000000000"/>
    <s v="IA002015001018001001000000000000000000"/>
    <n v="1"/>
    <s v="04/06/2018"/>
    <d v="2018-06-04T00:00:00"/>
    <s v="NO"/>
    <s v="Yes"/>
    <d v="2022-03-31T00:00:00"/>
    <s v="NA - Actual Cost"/>
    <n v="6"/>
    <n v="0"/>
    <n v="0"/>
    <s v="No Change"/>
    <m/>
    <m/>
    <n v="0.92602739726027394"/>
    <m/>
    <n v="0.92602739726027394"/>
    <n v="-7.3972602739726057E-2"/>
    <n v="0"/>
    <m/>
    <s v="Actual Cost"/>
    <n v="499"/>
    <m/>
    <n v="0"/>
    <n v="0"/>
    <n v="0"/>
    <n v="499"/>
    <n v="18.047688247836277"/>
    <n v="0"/>
    <m/>
    <m/>
    <n v="-480.95231175216372"/>
    <m/>
    <s v="NO"/>
    <m/>
    <m/>
    <n v="-19.48936748656876"/>
    <n v="-1.6241139572140633"/>
    <m/>
    <s v="Straight line"/>
    <n v="0"/>
    <n v="-500.44167923873249"/>
    <m/>
    <m/>
    <m/>
    <m/>
    <n v="0"/>
    <n v="-1.4416792387324904"/>
    <m/>
    <m/>
    <m/>
    <s v="Purchased"/>
    <s v="Own funding"/>
    <m/>
    <n v="0"/>
    <m/>
    <m/>
    <m/>
    <m/>
    <m/>
  </r>
  <r>
    <n v="1271"/>
    <n v="0"/>
    <s v="PPE"/>
    <x v="0"/>
    <s v="MOV"/>
    <x v="0"/>
    <s v="OTH"/>
    <x v="1"/>
    <s v="OTH"/>
    <s v="Other Assets"/>
    <s v="Main offices"/>
    <s v="Main offices"/>
    <s v="OTH"/>
    <s v="Bar Heater"/>
    <s v="OTH"/>
    <m/>
    <s v="Bar Heater"/>
    <s v="Cost Model"/>
    <s v="Owned"/>
    <s v="Core"/>
    <x v="0"/>
    <s v="Finance and Administration : Asset Management"/>
    <s v="FX005002001000000000000000000000000"/>
    <s v="IA002015001018001001000000000000000000"/>
    <n v="1"/>
    <s v="12/06/2018"/>
    <d v="2018-06-12T00:00:00"/>
    <s v="NO"/>
    <s v="Yes"/>
    <d v="2022-03-31T00:00:00"/>
    <s v="NA - Actual Cost"/>
    <n v="6"/>
    <n v="0"/>
    <n v="0"/>
    <s v="No Change"/>
    <m/>
    <m/>
    <n v="0.94794520547945194"/>
    <m/>
    <n v="0.94794520547945194"/>
    <n v="-5.2054794520548064E-2"/>
    <n v="0"/>
    <m/>
    <s v="Actual Cost"/>
    <n v="349"/>
    <m/>
    <n v="0"/>
    <n v="0"/>
    <n v="0"/>
    <n v="349"/>
    <n v="13.031715530465306"/>
    <n v="0"/>
    <m/>
    <m/>
    <n v="-335.96828446953469"/>
    <m/>
    <s v="NO"/>
    <m/>
    <m/>
    <n v="-13.747329967109357"/>
    <n v="-1.1456108305924464"/>
    <m/>
    <s v="Straight line"/>
    <n v="0"/>
    <n v="-349.71561443664405"/>
    <m/>
    <m/>
    <m/>
    <m/>
    <n v="0"/>
    <n v="-0.71561443664404578"/>
    <m/>
    <m/>
    <m/>
    <s v="Purchased"/>
    <s v="Own funding"/>
    <m/>
    <n v="0"/>
    <m/>
    <m/>
    <m/>
    <m/>
    <m/>
  </r>
  <r>
    <n v="1422"/>
    <s v="Basement storage "/>
    <s v="PPE"/>
    <x v="0"/>
    <s v="MOV"/>
    <x v="0"/>
    <s v="OTH"/>
    <x v="1"/>
    <s v="OTH"/>
    <s v="Other Assets"/>
    <s v="Main offices"/>
    <s v="Main offices"/>
    <s v="OTH"/>
    <s v="Foot Pedal Sanitiser Dispenser"/>
    <s v="OTH"/>
    <m/>
    <s v="Foot Pedal Sanitiser Dispenser"/>
    <s v="Cost Model"/>
    <s v="Owned"/>
    <s v="Core"/>
    <x v="0"/>
    <s v="Finance and Administration : Asset Management"/>
    <s v="FX005002001000000000000000000000000"/>
    <s v="IA002015001018001001000000000000000000"/>
    <n v="1"/>
    <s v="24/07/2020"/>
    <d v="2020-07-24T00:00:00"/>
    <s v="NO"/>
    <s v="Yes"/>
    <d v="2022-03-31T00:00:00"/>
    <s v="NA - Actual Cost"/>
    <n v="6"/>
    <n v="0"/>
    <n v="0"/>
    <s v="No Change"/>
    <m/>
    <m/>
    <n v="1.065753424657534"/>
    <m/>
    <n v="1.065753424657534"/>
    <n v="6.5753424657533976E-2"/>
    <s v="2 - Good  (46-70%)"/>
    <m/>
    <s v="Actual Cost"/>
    <n v="1196"/>
    <m/>
    <n v="0"/>
    <n v="0"/>
    <n v="0"/>
    <n v="1196"/>
    <n v="178.23100594916173"/>
    <n v="0"/>
    <m/>
    <m/>
    <n v="-1017.7689940508383"/>
    <m/>
    <s v="NO"/>
    <m/>
    <m/>
    <n v="-167.23474851270964"/>
    <n v="-13.936229042725804"/>
    <m/>
    <s v="Straight line"/>
    <n v="0"/>
    <n v="-1185.0037425635478"/>
    <m/>
    <m/>
    <m/>
    <m/>
    <n v="0"/>
    <n v="10.996257436452197"/>
    <m/>
    <m/>
    <m/>
    <s v="Purchased"/>
    <s v="Own funding"/>
    <m/>
    <s v="S. Skenjana"/>
    <m/>
    <m/>
    <m/>
    <m/>
    <m/>
  </r>
  <r>
    <n v="1423"/>
    <n v="0"/>
    <s v="PPE"/>
    <x v="0"/>
    <s v="MOV"/>
    <x v="0"/>
    <s v="OTH"/>
    <x v="1"/>
    <s v="OTH"/>
    <s v="Other Assets"/>
    <s v="Main offices"/>
    <s v="Main offices"/>
    <s v="OTH"/>
    <s v="Foot Pedal Sanitiser Dispenser"/>
    <s v="OTH"/>
    <m/>
    <s v="Foot Pedal Sanitiser Dispenser"/>
    <s v="Cost Model"/>
    <s v="Owned"/>
    <s v="Core"/>
    <x v="0"/>
    <s v="Finance and Administration : Asset Management"/>
    <s v="FX005002001000000000000000000000000"/>
    <s v="IA002015001018001001000000000000000000"/>
    <n v="1"/>
    <s v="24/07/2020"/>
    <d v="2020-07-24T00:00:00"/>
    <s v="NO"/>
    <s v="Yes"/>
    <d v="2022-03-31T00:00:00"/>
    <s v="NA - Actual Cost"/>
    <n v="6"/>
    <n v="0"/>
    <n v="0"/>
    <s v="No Change"/>
    <m/>
    <m/>
    <n v="1.065753424657534"/>
    <m/>
    <n v="1.065753424657534"/>
    <n v="6.5753424657533976E-2"/>
    <n v="0"/>
    <m/>
    <s v="Actual Cost"/>
    <n v="1196"/>
    <m/>
    <n v="0"/>
    <n v="0"/>
    <n v="0"/>
    <n v="1196"/>
    <n v="178.23100594916173"/>
    <n v="0"/>
    <m/>
    <m/>
    <n v="-1017.7689940508383"/>
    <m/>
    <s v="NO"/>
    <m/>
    <m/>
    <n v="-167.23474851270964"/>
    <n v="-13.936229042725804"/>
    <m/>
    <s v="Straight line"/>
    <n v="0"/>
    <n v="-1185.0037425635478"/>
    <m/>
    <m/>
    <m/>
    <m/>
    <n v="0"/>
    <n v="10.996257436452197"/>
    <m/>
    <m/>
    <m/>
    <s v="Purchased"/>
    <s v="Own funding"/>
    <m/>
    <n v="0"/>
    <m/>
    <m/>
    <m/>
    <m/>
    <m/>
  </r>
  <r>
    <n v="1424"/>
    <s v="Basement storage "/>
    <s v="PPE"/>
    <x v="0"/>
    <s v="MOV"/>
    <x v="0"/>
    <s v="OTH"/>
    <x v="1"/>
    <s v="OTH"/>
    <s v="Other Assets"/>
    <s v="Main offices"/>
    <s v="Main offices"/>
    <s v="OTH"/>
    <s v="Foot Pedal Sanitiser Dispenser"/>
    <s v="OTH"/>
    <m/>
    <s v="Foot Pedal Sanitiser Dispenser"/>
    <s v="Cost Model"/>
    <s v="Owned"/>
    <s v="Core"/>
    <x v="0"/>
    <s v="Finance and Administration : Asset Management"/>
    <s v="FX005002001000000000000000000000000"/>
    <s v="IA002015001018001001000000000000000000"/>
    <n v="1"/>
    <s v="24/07/2020"/>
    <d v="2020-07-24T00:00:00"/>
    <s v="NO"/>
    <s v="Yes"/>
    <d v="2022-03-31T00:00:00"/>
    <s v="NA - Actual Cost"/>
    <n v="6"/>
    <n v="0"/>
    <n v="0"/>
    <s v="No Change"/>
    <m/>
    <m/>
    <n v="1.065753424657534"/>
    <m/>
    <n v="1.065753424657534"/>
    <n v="6.5753424657533976E-2"/>
    <s v="2 - Good  (46-70%)"/>
    <m/>
    <s v="Actual Cost"/>
    <n v="1196"/>
    <m/>
    <n v="0"/>
    <n v="0"/>
    <n v="0"/>
    <n v="1196"/>
    <n v="178.23100594916173"/>
    <n v="0"/>
    <m/>
    <m/>
    <n v="-1017.7689940508383"/>
    <m/>
    <s v="NO"/>
    <m/>
    <m/>
    <n v="-167.23474851270964"/>
    <n v="-13.936229042725804"/>
    <m/>
    <s v="Straight line"/>
    <n v="0"/>
    <n v="-1185.0037425635478"/>
    <m/>
    <m/>
    <m/>
    <m/>
    <n v="0"/>
    <n v="10.996257436452197"/>
    <m/>
    <m/>
    <m/>
    <s v="Purchased"/>
    <s v="Own funding"/>
    <m/>
    <s v="S. Skenjana"/>
    <m/>
    <m/>
    <m/>
    <m/>
    <m/>
  </r>
  <r>
    <n v="1425"/>
    <s v="Basement storage "/>
    <s v="PPE"/>
    <x v="0"/>
    <s v="MOV"/>
    <x v="0"/>
    <s v="OTH"/>
    <x v="1"/>
    <s v="OTH"/>
    <s v="Other Assets"/>
    <s v="Main offices"/>
    <s v="Main offices"/>
    <s v="OTH"/>
    <s v="Foot Pedal Sanitiser Dispenser"/>
    <s v="OTH"/>
    <m/>
    <s v="Foot Pedal Sanitiser Dispenser"/>
    <s v="Cost Model"/>
    <s v="Owned"/>
    <s v="Core"/>
    <x v="0"/>
    <s v="Finance and Administration : Asset Management"/>
    <s v="FX005002001000000000000000000000000"/>
    <s v="IA002015001018001001000000000000000000"/>
    <n v="1"/>
    <s v="24/07/2020"/>
    <d v="2020-07-24T00:00:00"/>
    <s v="NO"/>
    <s v="Yes"/>
    <d v="2022-03-31T00:00:00"/>
    <s v="NA - Actual Cost"/>
    <n v="6"/>
    <n v="0"/>
    <n v="0"/>
    <s v="No Change"/>
    <m/>
    <m/>
    <n v="1.065753424657534"/>
    <m/>
    <n v="1.065753424657534"/>
    <n v="6.5753424657533976E-2"/>
    <s v="2 - Good  (46-70%)"/>
    <m/>
    <s v="Actual Cost"/>
    <n v="1196"/>
    <m/>
    <n v="0"/>
    <n v="0"/>
    <n v="0"/>
    <n v="1196"/>
    <n v="178.23100594916173"/>
    <n v="0"/>
    <m/>
    <m/>
    <n v="-1017.7689940508383"/>
    <m/>
    <s v="NO"/>
    <m/>
    <m/>
    <n v="-167.23474851270964"/>
    <n v="-13.936229042725804"/>
    <m/>
    <s v="Straight line"/>
    <n v="0"/>
    <n v="-1185.0037425635478"/>
    <m/>
    <m/>
    <m/>
    <m/>
    <n v="0"/>
    <n v="10.996257436452197"/>
    <m/>
    <m/>
    <m/>
    <s v="Purchased"/>
    <s v="Own funding"/>
    <m/>
    <s v="S. Skenjana"/>
    <m/>
    <m/>
    <m/>
    <m/>
    <m/>
  </r>
  <r>
    <n v="1426"/>
    <s v="Basement storage "/>
    <s v="PPE"/>
    <x v="0"/>
    <s v="MOV"/>
    <x v="0"/>
    <s v="OTH"/>
    <x v="1"/>
    <s v="OTH"/>
    <s v="Other Assets"/>
    <s v="Main offices"/>
    <s v="Main offices"/>
    <s v="OTH"/>
    <s v="Foot Pedal Sanitiser Dispenser"/>
    <s v="OTH"/>
    <m/>
    <s v="Foot Pedal Sanitiser Dispenser"/>
    <s v="Cost Model"/>
    <s v="Owned"/>
    <s v="Core"/>
    <x v="0"/>
    <s v="Finance and Administration : Asset Management"/>
    <s v="FX005002001000000000000000000000000"/>
    <s v="IA002015001018001001000000000000000000"/>
    <n v="1"/>
    <s v="24/07/2020"/>
    <d v="2020-07-24T00:00:00"/>
    <s v="NO"/>
    <s v="Yes"/>
    <d v="2022-03-31T00:00:00"/>
    <s v="NA - Actual Cost"/>
    <n v="6"/>
    <n v="0"/>
    <n v="0"/>
    <s v="No Change"/>
    <m/>
    <m/>
    <n v="1.065753424657534"/>
    <m/>
    <n v="1.065753424657534"/>
    <n v="6.5753424657533976E-2"/>
    <s v="2 - Good  (46-70%)"/>
    <m/>
    <s v="Actual Cost"/>
    <n v="1196"/>
    <m/>
    <n v="0"/>
    <n v="0"/>
    <n v="0"/>
    <n v="1196"/>
    <n v="178.23100594916173"/>
    <n v="0"/>
    <m/>
    <m/>
    <n v="-1017.7689940508383"/>
    <m/>
    <s v="NO"/>
    <m/>
    <m/>
    <n v="-167.23474851270964"/>
    <n v="-13.936229042725804"/>
    <m/>
    <s v="Straight line"/>
    <n v="0"/>
    <n v="-1185.0037425635478"/>
    <m/>
    <m/>
    <m/>
    <m/>
    <n v="0"/>
    <n v="10.996257436452197"/>
    <m/>
    <m/>
    <m/>
    <s v="Purchased"/>
    <s v="Own funding"/>
    <m/>
    <s v="S. SKENJANA"/>
    <m/>
    <m/>
    <m/>
    <m/>
    <m/>
  </r>
  <r>
    <n v="1427"/>
    <s v="Basement storage "/>
    <s v="PPE"/>
    <x v="0"/>
    <s v="MOV"/>
    <x v="0"/>
    <s v="OTH"/>
    <x v="1"/>
    <s v="OTH"/>
    <s v="Other Assets"/>
    <s v="Main offices"/>
    <s v="Main offices"/>
    <s v="OTH"/>
    <s v="Foot Pedal Sanitiser Dispenser"/>
    <s v="OTH"/>
    <m/>
    <s v="Foot Pedal Sanitiser Dispenser"/>
    <s v="Cost Model"/>
    <s v="Owned"/>
    <s v="Core"/>
    <x v="0"/>
    <s v="Finance and Administration : Asset Management"/>
    <s v="FX005002001000000000000000000000000"/>
    <s v="IA002015001018001001000000000000000000"/>
    <n v="1"/>
    <s v="24/07/2020"/>
    <d v="2020-07-24T00:00:00"/>
    <s v="NO"/>
    <s v="Yes"/>
    <d v="2022-03-31T00:00:00"/>
    <s v="NA - Actual Cost"/>
    <n v="6"/>
    <n v="0"/>
    <n v="0"/>
    <s v="No Change"/>
    <m/>
    <m/>
    <n v="1.065753424657534"/>
    <m/>
    <n v="1.065753424657534"/>
    <n v="6.5753424657533976E-2"/>
    <s v="2 - Good  (46-70%)"/>
    <m/>
    <s v="Actual Cost"/>
    <n v="1196"/>
    <m/>
    <n v="0"/>
    <n v="0"/>
    <n v="0"/>
    <n v="1196"/>
    <n v="178.23100594916173"/>
    <n v="0"/>
    <m/>
    <m/>
    <n v="-1017.7689940508383"/>
    <m/>
    <s v="NO"/>
    <m/>
    <m/>
    <n v="-167.23474851270964"/>
    <n v="-13.936229042725804"/>
    <m/>
    <s v="Straight line"/>
    <n v="0"/>
    <n v="-1185.0037425635478"/>
    <m/>
    <m/>
    <m/>
    <m/>
    <n v="0"/>
    <n v="10.996257436452197"/>
    <m/>
    <m/>
    <m/>
    <s v="Purchased"/>
    <s v="Own funding"/>
    <m/>
    <s v="S.Skenjana"/>
    <m/>
    <m/>
    <m/>
    <m/>
    <m/>
  </r>
  <r>
    <n v="1428"/>
    <s v="Basement storage "/>
    <s v="PPE"/>
    <x v="0"/>
    <s v="MOV"/>
    <x v="0"/>
    <s v="OTH"/>
    <x v="1"/>
    <s v="OTH"/>
    <s v="Other Assets"/>
    <s v="Main offices"/>
    <s v="Main offices"/>
    <s v="OTH"/>
    <s v="Foot Pedal Sanitiser Dispenser"/>
    <s v="OTH"/>
    <m/>
    <s v="Foot Pedal Sanitiser Dispenser"/>
    <s v="Cost Model"/>
    <s v="Owned"/>
    <s v="Core"/>
    <x v="0"/>
    <s v="Finance and Administration : Asset Management"/>
    <s v="FX005002001000000000000000000000000"/>
    <s v="IA002015001018001001000000000000000000"/>
    <n v="1"/>
    <s v="24/07/2020"/>
    <d v="2020-07-24T00:00:00"/>
    <s v="NO"/>
    <s v="Yes"/>
    <d v="2022-03-31T00:00:00"/>
    <s v="NA - Actual Cost"/>
    <n v="6"/>
    <n v="0"/>
    <n v="0"/>
    <s v="No Change"/>
    <m/>
    <m/>
    <n v="1.065753424657534"/>
    <m/>
    <n v="1.065753424657534"/>
    <n v="6.5753424657533976E-2"/>
    <s v="2 - Good  (46-70%)"/>
    <m/>
    <s v="Actual Cost"/>
    <n v="1196"/>
    <m/>
    <n v="0"/>
    <n v="0"/>
    <n v="0"/>
    <n v="1196"/>
    <n v="178.23100594916173"/>
    <n v="0"/>
    <m/>
    <m/>
    <n v="-1017.7689940508383"/>
    <m/>
    <s v="NO"/>
    <m/>
    <m/>
    <n v="-167.23474851270964"/>
    <n v="-13.936229042725804"/>
    <m/>
    <s v="Straight line"/>
    <n v="0"/>
    <n v="-1185.0037425635478"/>
    <m/>
    <m/>
    <m/>
    <m/>
    <n v="0"/>
    <n v="10.996257436452197"/>
    <m/>
    <m/>
    <m/>
    <s v="Purchased"/>
    <s v="Own funding"/>
    <m/>
    <s v="S.Skenjana"/>
    <m/>
    <m/>
    <m/>
    <m/>
    <m/>
  </r>
  <r>
    <n v="1429"/>
    <s v="Basement storage "/>
    <s v="PPE"/>
    <x v="0"/>
    <s v="MOV"/>
    <x v="0"/>
    <s v="OTH"/>
    <x v="1"/>
    <s v="OTH"/>
    <s v="Other Assets"/>
    <s v="Main offices"/>
    <s v="Main offices"/>
    <s v="OTH"/>
    <s v="Foot Pedal Sanitiser Dispenser"/>
    <s v="OTH"/>
    <m/>
    <s v="Foot Pedal Sanitiser Dispenser"/>
    <s v="Cost Model"/>
    <s v="Owned"/>
    <s v="Core"/>
    <x v="0"/>
    <s v="Finance and Administration : Asset Management"/>
    <s v="FX005002001000000000000000000000000"/>
    <s v="IA002015001018001001000000000000000000"/>
    <n v="1"/>
    <s v="24/07/2020"/>
    <d v="2020-07-24T00:00:00"/>
    <s v="NO"/>
    <s v="Yes"/>
    <d v="2022-03-31T00:00:00"/>
    <s v="NA - Actual Cost"/>
    <n v="6"/>
    <n v="0"/>
    <n v="0"/>
    <s v="No Change"/>
    <m/>
    <m/>
    <n v="1.065753424657534"/>
    <m/>
    <n v="1.065753424657534"/>
    <n v="6.5753424657533976E-2"/>
    <s v="2 - Good  (46-70%)"/>
    <m/>
    <s v="Actual Cost"/>
    <n v="1196"/>
    <m/>
    <n v="0"/>
    <n v="0"/>
    <n v="0"/>
    <n v="1196"/>
    <n v="178.23100594916173"/>
    <n v="0"/>
    <m/>
    <m/>
    <n v="-1017.7689940508383"/>
    <m/>
    <s v="NO"/>
    <m/>
    <m/>
    <n v="-167.23474851270964"/>
    <n v="-13.936229042725804"/>
    <m/>
    <s v="Straight line"/>
    <n v="0"/>
    <n v="-1185.0037425635478"/>
    <m/>
    <m/>
    <m/>
    <m/>
    <n v="0"/>
    <n v="10.996257436452197"/>
    <m/>
    <m/>
    <m/>
    <s v="Purchased"/>
    <s v="Own funding"/>
    <m/>
    <s v="S.Skenjana"/>
    <m/>
    <m/>
    <m/>
    <m/>
    <m/>
  </r>
  <r>
    <n v="1430"/>
    <s v="Basement storage "/>
    <s v="PPE"/>
    <x v="0"/>
    <s v="MOV"/>
    <x v="0"/>
    <s v="OTH"/>
    <x v="1"/>
    <s v="OTH"/>
    <s v="Other Assets"/>
    <s v="Main offices"/>
    <s v="Main offices"/>
    <s v="OTH"/>
    <s v="Foot Pedal Sanitiser Dispenser"/>
    <s v="OTH"/>
    <m/>
    <s v="Foot Pedal Sanitiser Dispenser"/>
    <s v="Cost Model"/>
    <s v="Owned"/>
    <s v="Core"/>
    <x v="0"/>
    <s v="Finance and Administration : Asset Management"/>
    <s v="FX005002001000000000000000000000000"/>
    <s v="IA002015001018001001000000000000000000"/>
    <n v="1"/>
    <s v="24/07/2020"/>
    <d v="2020-07-24T00:00:00"/>
    <s v="NO"/>
    <s v="Yes"/>
    <d v="2022-03-31T00:00:00"/>
    <s v="NA - Actual Cost"/>
    <n v="6"/>
    <n v="0"/>
    <n v="0"/>
    <s v="No Change"/>
    <m/>
    <m/>
    <n v="1.065753424657534"/>
    <m/>
    <n v="1.065753424657534"/>
    <n v="6.5753424657533976E-2"/>
    <s v="2 - Good  (46-70%)"/>
    <m/>
    <s v="Actual Cost"/>
    <n v="1196"/>
    <m/>
    <n v="0"/>
    <n v="0"/>
    <n v="0"/>
    <n v="1196"/>
    <n v="178.23100594916173"/>
    <n v="0"/>
    <m/>
    <m/>
    <n v="-1017.7689940508383"/>
    <m/>
    <s v="NO"/>
    <m/>
    <m/>
    <n v="-167.23474851270964"/>
    <n v="-13.936229042725804"/>
    <m/>
    <s v="Straight line"/>
    <n v="0"/>
    <n v="-1185.0037425635478"/>
    <m/>
    <m/>
    <m/>
    <m/>
    <n v="0"/>
    <n v="10.996257436452197"/>
    <m/>
    <m/>
    <m/>
    <s v="Purchased"/>
    <s v="Own funding"/>
    <m/>
    <s v="S. Skenjana"/>
    <m/>
    <m/>
    <m/>
    <m/>
    <m/>
  </r>
  <r>
    <n v="1431"/>
    <s v="Basement storage "/>
    <s v="PPE"/>
    <x v="0"/>
    <s v="MOV"/>
    <x v="0"/>
    <s v="OTH"/>
    <x v="1"/>
    <s v="OTH"/>
    <s v="Other Assets"/>
    <s v="Main offices"/>
    <s v="Main offices"/>
    <s v="OTH"/>
    <s v="Foot Pedal Sanitiser Dispenser"/>
    <s v="OTH"/>
    <m/>
    <s v="Foot Pedal Sanitiser Dispenser"/>
    <s v="Cost Model"/>
    <s v="Owned"/>
    <s v="Core"/>
    <x v="0"/>
    <s v="Finance and Administration : Asset Management"/>
    <s v="FX005002001000000000000000000000000"/>
    <s v="IA002015001018001001000000000000000000"/>
    <n v="1"/>
    <s v="24/07/2020"/>
    <d v="2020-07-24T00:00:00"/>
    <s v="NO"/>
    <s v="Yes"/>
    <d v="2022-03-31T00:00:00"/>
    <s v="NA - Actual Cost"/>
    <n v="6"/>
    <n v="0"/>
    <n v="0"/>
    <s v="No Change"/>
    <m/>
    <m/>
    <n v="1.065753424657534"/>
    <m/>
    <n v="1.065753424657534"/>
    <n v="6.5753424657533976E-2"/>
    <s v="2 - Good  (46-70%)"/>
    <m/>
    <s v="Actual Cost"/>
    <n v="1196"/>
    <m/>
    <n v="0"/>
    <n v="0"/>
    <n v="0"/>
    <n v="1196"/>
    <n v="178.23100594916173"/>
    <n v="0"/>
    <m/>
    <m/>
    <n v="-1017.7689940508383"/>
    <m/>
    <s v="NO"/>
    <m/>
    <m/>
    <n v="-167.23474851270964"/>
    <n v="-13.936229042725804"/>
    <m/>
    <s v="Straight line"/>
    <n v="0"/>
    <n v="-1185.0037425635478"/>
    <m/>
    <m/>
    <m/>
    <m/>
    <n v="0"/>
    <n v="10.996257436452197"/>
    <m/>
    <m/>
    <m/>
    <s v="Purchased"/>
    <s v="Own funding"/>
    <m/>
    <s v="S. Skenjana"/>
    <m/>
    <m/>
    <m/>
    <m/>
    <m/>
  </r>
  <r>
    <n v="1432"/>
    <s v="Basement storage "/>
    <s v="PPE"/>
    <x v="0"/>
    <s v="MOV"/>
    <x v="0"/>
    <s v="OTH"/>
    <x v="1"/>
    <s v="OTH"/>
    <s v="Other Assets"/>
    <s v="Main offices"/>
    <s v="Main offices"/>
    <s v="OTH"/>
    <s v="Foot Pedal Sanitiser Dispenser"/>
    <s v="OTH"/>
    <m/>
    <s v="Foot Pedal Sanitiser Dispenser"/>
    <s v="Cost Model"/>
    <s v="Owned"/>
    <s v="Core"/>
    <x v="0"/>
    <s v="Finance and Administration : Asset Management"/>
    <s v="FX005002001000000000000000000000000"/>
    <s v="IA002015001018001001000000000000000000"/>
    <n v="1"/>
    <s v="24/07/2020"/>
    <d v="2020-07-24T00:00:00"/>
    <s v="NO"/>
    <s v="Yes"/>
    <d v="2022-03-31T00:00:00"/>
    <s v="NA - Actual Cost"/>
    <n v="6"/>
    <n v="0"/>
    <n v="0"/>
    <s v="No Change"/>
    <m/>
    <m/>
    <n v="1.065753424657534"/>
    <m/>
    <n v="1.065753424657534"/>
    <n v="6.5753424657533976E-2"/>
    <s v="2 - Good  (46-70%)"/>
    <m/>
    <s v="Actual Cost"/>
    <n v="1196"/>
    <m/>
    <n v="0"/>
    <n v="0"/>
    <n v="0"/>
    <n v="1196"/>
    <n v="178.23100594916173"/>
    <n v="0"/>
    <m/>
    <m/>
    <n v="-1017.7689940508383"/>
    <m/>
    <s v="NO"/>
    <m/>
    <m/>
    <n v="-167.23474851270964"/>
    <n v="-13.936229042725804"/>
    <m/>
    <s v="Straight line"/>
    <n v="0"/>
    <n v="-1185.0037425635478"/>
    <m/>
    <m/>
    <m/>
    <m/>
    <n v="0"/>
    <n v="10.996257436452197"/>
    <m/>
    <m/>
    <m/>
    <s v="Purchased"/>
    <s v="Own funding"/>
    <m/>
    <s v="S.Skenjana"/>
    <m/>
    <m/>
    <m/>
    <m/>
    <m/>
  </r>
  <r>
    <n v="1433"/>
    <s v="Basement storage "/>
    <s v="PPE"/>
    <x v="0"/>
    <s v="MOV"/>
    <x v="0"/>
    <s v="OTH"/>
    <x v="1"/>
    <s v="OTH"/>
    <s v="Other Assets"/>
    <s v="Main offices"/>
    <s v="Main offices"/>
    <s v="OTH"/>
    <s v="Foot Pedal Sanitiser Dispenser"/>
    <s v="OTH"/>
    <m/>
    <s v="Foot Pedal Sanitiser Dispenser"/>
    <s v="Cost Model"/>
    <s v="Owned"/>
    <s v="Core"/>
    <x v="0"/>
    <s v="Finance and Administration : Asset Management"/>
    <s v="FX005002001000000000000000000000000"/>
    <s v="IA002015001018001001000000000000000000"/>
    <n v="1"/>
    <s v="24/07/2020"/>
    <d v="2020-07-24T00:00:00"/>
    <s v="NO"/>
    <s v="Yes"/>
    <d v="2022-03-31T00:00:00"/>
    <s v="NA - Actual Cost"/>
    <n v="6"/>
    <n v="0"/>
    <n v="0"/>
    <s v="No Change"/>
    <m/>
    <m/>
    <n v="1.065753424657534"/>
    <m/>
    <n v="1.065753424657534"/>
    <n v="6.5753424657533976E-2"/>
    <s v="2 - Good  (46-70%)"/>
    <m/>
    <s v="Actual Cost"/>
    <n v="1196"/>
    <m/>
    <n v="0"/>
    <n v="0"/>
    <n v="0"/>
    <n v="1196"/>
    <n v="178.23100594916173"/>
    <n v="0"/>
    <m/>
    <m/>
    <n v="-1017.7689940508383"/>
    <m/>
    <s v="NO"/>
    <m/>
    <m/>
    <n v="-167.23474851270964"/>
    <n v="-13.936229042725804"/>
    <m/>
    <s v="Straight line"/>
    <n v="0"/>
    <n v="-1185.0037425635478"/>
    <m/>
    <m/>
    <m/>
    <m/>
    <n v="0"/>
    <n v="10.996257436452197"/>
    <m/>
    <m/>
    <m/>
    <s v="Purchased"/>
    <s v="Own funding"/>
    <m/>
    <s v="S. Skenjana"/>
    <m/>
    <m/>
    <m/>
    <m/>
    <m/>
  </r>
  <r>
    <n v="1434"/>
    <s v="Basement storage "/>
    <s v="PPE"/>
    <x v="0"/>
    <s v="MOV"/>
    <x v="0"/>
    <s v="OTH"/>
    <x v="1"/>
    <s v="OTH"/>
    <s v="Other Assets"/>
    <s v="Main offices"/>
    <s v="Main offices"/>
    <s v="OTH"/>
    <s v="Foot Pedal Sanitiser Dispenser"/>
    <s v="OTH"/>
    <m/>
    <s v="Foot Pedal Sanitiser Dispenser"/>
    <s v="Cost Model"/>
    <s v="Owned"/>
    <s v="Core"/>
    <x v="0"/>
    <s v="Finance and Administration : Asset Management"/>
    <s v="FX005002001000000000000000000000000"/>
    <s v="IA002015001018001001000000000000000000"/>
    <n v="1"/>
    <s v="24/07/2020"/>
    <d v="2020-07-24T00:00:00"/>
    <s v="NO"/>
    <s v="Yes"/>
    <d v="2022-03-31T00:00:00"/>
    <s v="NA - Actual Cost"/>
    <n v="6"/>
    <n v="0"/>
    <n v="0"/>
    <s v="No Change"/>
    <m/>
    <m/>
    <n v="1.065753424657534"/>
    <m/>
    <n v="1.065753424657534"/>
    <n v="6.5753424657533976E-2"/>
    <s v="2 - Good  (46-70%)"/>
    <m/>
    <s v="Actual Cost"/>
    <n v="1196"/>
    <m/>
    <n v="0"/>
    <n v="0"/>
    <n v="0"/>
    <n v="1196"/>
    <n v="178.23100594916173"/>
    <n v="0"/>
    <m/>
    <m/>
    <n v="-1017.7689940508383"/>
    <m/>
    <s v="NO"/>
    <m/>
    <m/>
    <n v="-167.23474851270964"/>
    <n v="-13.936229042725804"/>
    <m/>
    <s v="Straight line"/>
    <n v="0"/>
    <n v="-1185.0037425635478"/>
    <m/>
    <m/>
    <m/>
    <m/>
    <n v="0"/>
    <n v="10.996257436452197"/>
    <m/>
    <m/>
    <m/>
    <s v="Purchased"/>
    <s v="Own funding"/>
    <m/>
    <s v="S. Skenjana"/>
    <m/>
    <m/>
    <m/>
    <m/>
    <m/>
  </r>
  <r>
    <n v="1435"/>
    <s v="Basement storage "/>
    <s v="PPE"/>
    <x v="0"/>
    <s v="MOV"/>
    <x v="0"/>
    <s v="OTH"/>
    <x v="1"/>
    <s v="OTH"/>
    <s v="Other Assets"/>
    <s v="Main offices"/>
    <s v="Main offices"/>
    <s v="OTH"/>
    <s v="Foot Pedal Sanitiser Dispenser"/>
    <s v="OTH"/>
    <m/>
    <s v="Foot Pedal Sanitiser Dispenser"/>
    <s v="Cost Model"/>
    <s v="Owned"/>
    <s v="Core"/>
    <x v="0"/>
    <s v="Finance and Administration : Asset Management"/>
    <s v="FX005002001000000000000000000000000"/>
    <s v="IA002015001018001001000000000000000000"/>
    <n v="1"/>
    <s v="24/07/2020"/>
    <d v="2020-07-24T00:00:00"/>
    <s v="NO"/>
    <s v="Yes"/>
    <d v="2022-03-31T00:00:00"/>
    <s v="NA - Actual Cost"/>
    <n v="6"/>
    <n v="0"/>
    <n v="0"/>
    <s v="No Change"/>
    <m/>
    <m/>
    <n v="1.065753424657534"/>
    <m/>
    <n v="1.065753424657534"/>
    <n v="6.5753424657533976E-2"/>
    <s v="2 - Good  (46-70%)"/>
    <m/>
    <s v="Actual Cost"/>
    <n v="1196"/>
    <m/>
    <n v="0"/>
    <n v="0"/>
    <n v="0"/>
    <n v="1196"/>
    <n v="178.23100594916173"/>
    <n v="0"/>
    <m/>
    <m/>
    <n v="-1017.7689940508383"/>
    <m/>
    <s v="NO"/>
    <m/>
    <m/>
    <n v="-167.23474851270964"/>
    <n v="-13.936229042725804"/>
    <m/>
    <s v="Straight line"/>
    <n v="0"/>
    <n v="-1185.0037425635478"/>
    <m/>
    <m/>
    <m/>
    <m/>
    <n v="0"/>
    <n v="10.996257436452197"/>
    <m/>
    <m/>
    <m/>
    <s v="Purchased"/>
    <s v="Own funding"/>
    <m/>
    <s v="S.Skenjana"/>
    <m/>
    <m/>
    <m/>
    <m/>
    <m/>
  </r>
  <r>
    <n v="1436"/>
    <s v="Basement storage "/>
    <s v="PPE"/>
    <x v="0"/>
    <s v="MOV"/>
    <x v="0"/>
    <s v="OTH"/>
    <x v="1"/>
    <s v="OTH"/>
    <s v="Other Assets"/>
    <s v="Main offices"/>
    <s v="Main offices"/>
    <s v="OTH"/>
    <s v="Foot Pedal Sanitiser Dispenser"/>
    <s v="OTH"/>
    <m/>
    <s v="Foot Pedal Sanitiser Dispenser"/>
    <s v="Cost Model"/>
    <s v="Owned"/>
    <s v="Core"/>
    <x v="0"/>
    <s v="Finance and Administration : Asset Management"/>
    <s v="FX005002001000000000000000000000000"/>
    <s v="IA002015001018001001000000000000000000"/>
    <n v="1"/>
    <s v="24/07/2020"/>
    <d v="2020-07-24T00:00:00"/>
    <s v="NO"/>
    <s v="Yes"/>
    <d v="2022-03-31T00:00:00"/>
    <s v="NA - Actual Cost"/>
    <n v="6"/>
    <n v="0"/>
    <n v="0"/>
    <s v="No Change"/>
    <m/>
    <m/>
    <n v="1.065753424657534"/>
    <m/>
    <n v="1.065753424657534"/>
    <n v="6.5753424657533976E-2"/>
    <s v="2 - Good  (46-70%)"/>
    <m/>
    <s v="Actual Cost"/>
    <n v="1196"/>
    <m/>
    <n v="0"/>
    <n v="0"/>
    <n v="0"/>
    <n v="1196"/>
    <n v="178.23100594916173"/>
    <n v="0"/>
    <m/>
    <m/>
    <n v="-1017.7689940508383"/>
    <m/>
    <s v="NO"/>
    <m/>
    <m/>
    <n v="-167.23474851270964"/>
    <n v="-13.936229042725804"/>
    <m/>
    <s v="Straight line"/>
    <n v="0"/>
    <n v="-1185.0037425635478"/>
    <m/>
    <m/>
    <m/>
    <m/>
    <n v="0"/>
    <n v="10.996257436452197"/>
    <m/>
    <m/>
    <m/>
    <s v="Purchased"/>
    <s v="Own funding"/>
    <m/>
    <s v="S. Skenjana"/>
    <m/>
    <m/>
    <m/>
    <m/>
    <m/>
  </r>
  <r>
    <n v="1505"/>
    <s v="R25"/>
    <s v="PPE"/>
    <x v="0"/>
    <s v="MOV"/>
    <x v="0"/>
    <s v="OTH"/>
    <x v="1"/>
    <s v="OTH"/>
    <s v="Other Assets"/>
    <s v="Main offices"/>
    <s v="Main offices"/>
    <s v="OTH"/>
    <s v="Phillips Conference Kit"/>
    <s v="OTH"/>
    <m/>
    <s v="Phillips Conference Kit"/>
    <s v="Cost Model"/>
    <s v="Owned"/>
    <s v="Core"/>
    <x v="0"/>
    <s v="Finance and Administration : Asset Management"/>
    <s v="FX005002001000000000000000000000000"/>
    <s v="IA002015001018001001000000000000000000"/>
    <n v="1"/>
    <s v="31/03/2021"/>
    <d v="2021-03-31T00:00:00"/>
    <s v="NO"/>
    <s v="Yes"/>
    <d v="2022-03-31T00:00:00"/>
    <s v="NA - Actual Cost"/>
    <n v="6"/>
    <n v="0"/>
    <n v="0"/>
    <s v="No Change"/>
    <m/>
    <m/>
    <n v="1.7506849315068491"/>
    <m/>
    <n v="1.7506849315068491"/>
    <n v="0.75068493150684912"/>
    <s v="2 - Good  (46-70%)"/>
    <m/>
    <s v="Actual Cost"/>
    <n v="20500"/>
    <m/>
    <n v="0"/>
    <n v="0"/>
    <n v="0"/>
    <n v="20500"/>
    <n v="5114.0122868032395"/>
    <n v="0"/>
    <m/>
    <m/>
    <n v="-15385.987713196761"/>
    <m/>
    <s v="NO"/>
    <m/>
    <m/>
    <n v="-2921.1494282991903"/>
    <n v="-243.42911902493253"/>
    <m/>
    <s v="Straight line"/>
    <n v="0"/>
    <n v="-18307.13714149595"/>
    <m/>
    <m/>
    <m/>
    <m/>
    <n v="0"/>
    <n v="2192.8628585040497"/>
    <m/>
    <m/>
    <m/>
    <s v="Purchased"/>
    <s v="Own funding"/>
    <m/>
    <s v="L.Mphafe"/>
    <m/>
    <m/>
    <m/>
    <m/>
    <m/>
  </r>
  <r>
    <n v="1601"/>
    <s v="Open plan Co-Business "/>
    <s v="PPE"/>
    <x v="0"/>
    <s v="MOV"/>
    <x v="0"/>
    <s v="OTH"/>
    <x v="1"/>
    <s v="OTH"/>
    <s v="Other Assets"/>
    <s v="Main offices"/>
    <s v="Main offices"/>
    <s v="OTH"/>
    <s v="PRINTER"/>
    <s v="OTH"/>
    <m/>
    <s v="PRINTER"/>
    <s v="Cost Model"/>
    <s v="Owned"/>
    <s v="Core"/>
    <x v="0"/>
    <s v="Finance and Administration : Asset Management"/>
    <s v="FX005002001000000000000000000000000"/>
    <s v="IA002015001018001001000000000000000000"/>
    <n v="1"/>
    <s v="24/05/2021"/>
    <d v="2021-05-24T00:00:00"/>
    <s v="NO"/>
    <s v="Yes"/>
    <d v="2022-03-31T00:00:00"/>
    <s v="NA - Actual Cost"/>
    <n v="6"/>
    <n v="0"/>
    <n v="0"/>
    <s v="No Change"/>
    <m/>
    <m/>
    <n v="1.8986301369863012"/>
    <m/>
    <n v="1.8986301369863012"/>
    <n v="0.89863013698630123"/>
    <s v="2 - Good  (46-70%)"/>
    <m/>
    <s v="Actual Cost"/>
    <n v="19997.5"/>
    <m/>
    <n v="0"/>
    <n v="0"/>
    <n v="0"/>
    <n v="19997.5"/>
    <n v="1124.5500000000002"/>
    <n v="0"/>
    <m/>
    <m/>
    <n v="-13347.462552863841"/>
    <m/>
    <s v="NO"/>
    <m/>
    <m/>
    <n v="-592.29545454545473"/>
    <n v="-49.357954545454561"/>
    <m/>
    <s v="Straight line"/>
    <n v="0"/>
    <n v="-13939.758007409295"/>
    <n v="-5525.4874471361591"/>
    <n v="0"/>
    <m/>
    <m/>
    <n v="-5525.4874471361591"/>
    <n v="532.25454545454613"/>
    <m/>
    <m/>
    <m/>
    <s v="Purchased"/>
    <s v="Own funding"/>
    <m/>
    <s v="N. Maluleke"/>
    <m/>
    <m/>
    <m/>
    <m/>
    <m/>
  </r>
  <r>
    <s v="NHC 00573"/>
    <n v="0"/>
    <s v="PPE"/>
    <x v="0"/>
    <s v="MOV"/>
    <x v="0"/>
    <s v="OTH"/>
    <x v="2"/>
    <s v="OTH"/>
    <s v="Other Assets"/>
    <s v="Main offices"/>
    <s v="Main offices"/>
    <s v="OTH"/>
    <s v="19 Monitor/GM"/>
    <s v="OTH"/>
    <m/>
    <s v="19 Monitor/GM"/>
    <s v="Cost Model"/>
    <s v="Owned"/>
    <s v="Core"/>
    <x v="0"/>
    <s v="Finance and Administration : Asset Management"/>
    <s v="FX005002001000000000000000000000000"/>
    <s v="IA002015001018001001000000000000000000"/>
    <n v="1"/>
    <s v="17/08/2010"/>
    <d v="2010-08-17T00:00:00"/>
    <s v="NO"/>
    <s v="Yes"/>
    <d v="2022-03-31T00:00:00"/>
    <s v="NA - Actual Cost"/>
    <n v="3"/>
    <n v="0"/>
    <n v="0"/>
    <s v="No Change"/>
    <m/>
    <m/>
    <n v="1.5"/>
    <m/>
    <n v="1.5"/>
    <n v="0.5"/>
    <n v="0"/>
    <m/>
    <s v="Actual Cost"/>
    <n v="1195.01"/>
    <m/>
    <n v="0"/>
    <n v="0"/>
    <n v="0"/>
    <n v="1195.01"/>
    <n v="51.214714285714308"/>
    <n v="0"/>
    <m/>
    <m/>
    <n v="-1143.7952857142857"/>
    <m/>
    <s v="NO"/>
    <m/>
    <m/>
    <n v="-34.14314285714287"/>
    <n v="-2.8452619047619057"/>
    <m/>
    <s v="Straight line"/>
    <n v="0"/>
    <n v="-1177.9384285714286"/>
    <m/>
    <m/>
    <m/>
    <m/>
    <n v="0"/>
    <n v="17.07157142857136"/>
    <m/>
    <m/>
    <m/>
    <s v="Purchased"/>
    <s v="Own funding"/>
    <m/>
    <n v="0"/>
    <m/>
    <m/>
    <m/>
    <m/>
    <m/>
  </r>
  <r>
    <s v="NHC000868"/>
    <s v="R2"/>
    <s v="PPE"/>
    <x v="0"/>
    <s v="MOV"/>
    <x v="0"/>
    <s v="OTH"/>
    <x v="2"/>
    <s v="OTH"/>
    <s v="Other Assets"/>
    <s v="Main offices"/>
    <s v="Main offices"/>
    <s v="OTH"/>
    <s v="LCD Projector"/>
    <s v="OTH"/>
    <m/>
    <s v="LCD Projector"/>
    <s v="Cost Model"/>
    <s v="Owned"/>
    <s v="Core"/>
    <x v="0"/>
    <s v="Finance and Administration : Asset Management"/>
    <s v="FX005002001000000000000000000000000"/>
    <s v="IA002015001018001001000000000000000000"/>
    <n v="1"/>
    <s v="05/07/2011"/>
    <d v="2011-07-05T00:00:00"/>
    <s v="NO"/>
    <s v="Yes"/>
    <d v="2022-03-31T00:00:00"/>
    <s v="NA - Actual Cost"/>
    <n v="3"/>
    <n v="0"/>
    <n v="0"/>
    <s v="No Change"/>
    <m/>
    <m/>
    <n v="1.5"/>
    <m/>
    <n v="1.5"/>
    <n v="0.5"/>
    <s v="2 - Good  (46-70%)"/>
    <m/>
    <s v="Actual Cost"/>
    <n v="8550"/>
    <m/>
    <n v="0"/>
    <n v="0"/>
    <n v="0"/>
    <n v="8550"/>
    <n v="366.42857142857156"/>
    <n v="0"/>
    <m/>
    <m/>
    <n v="-8183.5714285714284"/>
    <m/>
    <s v="NO"/>
    <m/>
    <m/>
    <n v="-244.28571428571436"/>
    <n v="-20.357142857142865"/>
    <m/>
    <s v="Straight line"/>
    <n v="0"/>
    <n v="-8427.8571428571431"/>
    <m/>
    <m/>
    <m/>
    <m/>
    <n v="0"/>
    <n v="122.14285714285688"/>
    <m/>
    <m/>
    <m/>
    <s v="Purchased"/>
    <s v="Own funding"/>
    <m/>
    <s v="N.Gawula"/>
    <m/>
    <m/>
    <m/>
    <m/>
    <m/>
  </r>
  <r>
    <s v="NHC000999"/>
    <s v="Basement parking "/>
    <s v="PPE"/>
    <x v="0"/>
    <s v="MOV"/>
    <x v="0"/>
    <s v="OTH"/>
    <x v="2"/>
    <s v="OTH"/>
    <s v="Other Assets"/>
    <s v="Main offices"/>
    <s v="Main offices"/>
    <s v="OTH"/>
    <s v="Poweregde T320 Server (Tower) CPU/Monitor"/>
    <s v="OTH"/>
    <m/>
    <s v="Poweregde T320 Server (Tower) CPU/Monitor"/>
    <s v="Cost Model"/>
    <s v="Owned"/>
    <s v="Core"/>
    <x v="0"/>
    <s v="Finance and Administration : Asset Management"/>
    <s v="FX005002001000000000000000000000000"/>
    <s v="IA002015001018001001000000000000000000"/>
    <n v="1"/>
    <s v="29/10/2014"/>
    <d v="2014-10-29T00:00:00"/>
    <s v="NO"/>
    <s v="Yes"/>
    <d v="2022-03-31T00:00:00"/>
    <s v="NA - Actual Cost"/>
    <n v="3"/>
    <n v="0"/>
    <n v="0"/>
    <s v="No Change"/>
    <m/>
    <m/>
    <n v="1.5"/>
    <m/>
    <n v="1.5"/>
    <n v="0.5"/>
    <s v="2 - Good  (46-70%)"/>
    <m/>
    <s v="Actual Cost"/>
    <n v="32985.99"/>
    <m/>
    <n v="0"/>
    <n v="0"/>
    <n v="0"/>
    <n v="32985.99"/>
    <n v="1413.6852857142876"/>
    <n v="0"/>
    <m/>
    <m/>
    <n v="-31572.30471428571"/>
    <m/>
    <s v="NO"/>
    <m/>
    <m/>
    <n v="-942.45685714285844"/>
    <n v="-78.538071428571541"/>
    <m/>
    <s v="Straight line"/>
    <n v="0"/>
    <n v="-32514.761571428568"/>
    <m/>
    <m/>
    <m/>
    <m/>
    <n v="0"/>
    <n v="471.22842857143041"/>
    <m/>
    <m/>
    <m/>
    <s v="Purchased"/>
    <s v="Own funding"/>
    <m/>
    <s v="N. GAWULA "/>
    <m/>
    <m/>
    <m/>
    <m/>
    <m/>
  </r>
  <r>
    <s v="NHC000992"/>
    <s v="R17"/>
    <s v="PPE"/>
    <x v="0"/>
    <s v="MOV"/>
    <x v="0"/>
    <s v="OTH"/>
    <x v="2"/>
    <s v="OTH"/>
    <s v="Other Assets"/>
    <s v="Main offices"/>
    <s v="Main offices"/>
    <s v="OTH"/>
    <s v="Netgear Prosafe Switch"/>
    <s v="OTH"/>
    <m/>
    <s v="Netgear Prosafe Switch"/>
    <s v="Cost Model"/>
    <s v="Owned"/>
    <s v="Core"/>
    <x v="0"/>
    <s v="Finance and Administration : Asset Management"/>
    <s v="FX005002001000000000000000000000000"/>
    <s v="IA002015001018001001000000000000000000"/>
    <n v="1"/>
    <s v="10/12/2014"/>
    <d v="2014-12-10T00:00:00"/>
    <s v="NO"/>
    <s v="Yes"/>
    <d v="2022-03-31T00:00:00"/>
    <s v="NA - Actual Cost"/>
    <n v="3"/>
    <n v="0"/>
    <n v="0"/>
    <s v="No Change"/>
    <m/>
    <m/>
    <n v="1.5"/>
    <m/>
    <n v="1.5"/>
    <n v="0.5"/>
    <s v="2 - Good  (46-70%)"/>
    <m/>
    <s v="Actual Cost"/>
    <n v="8055"/>
    <m/>
    <n v="0"/>
    <n v="0"/>
    <n v="0"/>
    <n v="8055"/>
    <n v="345.21428571428623"/>
    <n v="0"/>
    <m/>
    <m/>
    <n v="-7709.7857142857138"/>
    <m/>
    <s v="NO"/>
    <m/>
    <m/>
    <n v="-230.14285714285748"/>
    <n v="-19.178571428571455"/>
    <m/>
    <s v="Straight line"/>
    <n v="0"/>
    <n v="-7939.9285714285716"/>
    <m/>
    <m/>
    <m/>
    <m/>
    <n v="0"/>
    <n v="115.07142857142844"/>
    <m/>
    <m/>
    <m/>
    <s v="Purchased"/>
    <s v="Own funding"/>
    <m/>
    <s v="N.Gawula"/>
    <m/>
    <m/>
    <m/>
    <m/>
    <m/>
  </r>
  <r>
    <s v="NHC00790"/>
    <s v="Open Plan Co business "/>
    <s v="PPE"/>
    <x v="0"/>
    <s v="MOV"/>
    <x v="0"/>
    <s v="OTH"/>
    <x v="2"/>
    <s v="OTH"/>
    <s v="Other Assets"/>
    <s v="Main offices"/>
    <s v="Main offices"/>
    <s v="OTH"/>
    <s v="Apple MacBook Pro Retina 13.3/Scm Store"/>
    <s v="OTH"/>
    <m/>
    <s v="Apple MacBook Pro Retina 13.3/Scm Store"/>
    <s v="Cost Model"/>
    <s v="Owned"/>
    <s v="Core"/>
    <x v="0"/>
    <s v="Finance and Administration : Asset Management"/>
    <s v="FX005002001000000000000000000000000"/>
    <s v="IA002015001018001001000000000000000000"/>
    <n v="1"/>
    <s v="19/08/2015"/>
    <d v="2015-08-19T00:00:00"/>
    <s v="NO"/>
    <s v="Yes"/>
    <d v="2022-03-31T00:00:00"/>
    <s v="NA - Actual Cost"/>
    <n v="3"/>
    <n v="0"/>
    <n v="0"/>
    <s v="No Change"/>
    <m/>
    <m/>
    <n v="1.5"/>
    <m/>
    <n v="1.5"/>
    <n v="0.5"/>
    <s v="2 - Good  (46-70%)"/>
    <m/>
    <s v="Actual Cost"/>
    <n v="19699"/>
    <m/>
    <n v="0"/>
    <n v="0"/>
    <n v="0"/>
    <n v="19699"/>
    <n v="844.24285714285725"/>
    <n v="0"/>
    <m/>
    <m/>
    <n v="-18854.757142857143"/>
    <m/>
    <s v="NO"/>
    <m/>
    <m/>
    <n v="-562.82857142857154"/>
    <n v="-46.902380952380959"/>
    <m/>
    <s v="Straight line"/>
    <n v="0"/>
    <n v="-19417.585714285713"/>
    <m/>
    <m/>
    <m/>
    <m/>
    <n v="0"/>
    <n v="281.41428571428696"/>
    <m/>
    <m/>
    <m/>
    <s v="Purchased"/>
    <s v="Own funding"/>
    <m/>
    <s v="PF. Ceza"/>
    <m/>
    <m/>
    <m/>
    <m/>
    <m/>
  </r>
  <r>
    <s v="NHC000701"/>
    <s v="R17"/>
    <s v="PPE"/>
    <x v="0"/>
    <s v="MOV"/>
    <x v="0"/>
    <s v="OTH"/>
    <x v="2"/>
    <s v="OTH"/>
    <s v="Other Assets"/>
    <s v="Main offices"/>
    <s v="Main offices"/>
    <s v="OTH"/>
    <s v="Mirco HP server with 2 TB Storage"/>
    <s v="OTH"/>
    <m/>
    <s v="Mirco HP server with 2 TB Storage"/>
    <s v="Cost Model"/>
    <s v="Owned"/>
    <s v="Core"/>
    <x v="0"/>
    <s v="Finance and Administration : Asset Management"/>
    <s v="FX005002001000000000000000000000000"/>
    <s v="IA002015001018001001000000000000000000"/>
    <n v="1"/>
    <s v="02/09/2016"/>
    <d v="2016-09-02T00:00:00"/>
    <s v="NO"/>
    <s v="Yes"/>
    <d v="2022-03-31T00:00:00"/>
    <s v="NA - Actual Cost"/>
    <n v="3"/>
    <n v="0"/>
    <n v="0"/>
    <s v="No Change"/>
    <m/>
    <m/>
    <n v="1.5"/>
    <m/>
    <n v="1.5"/>
    <n v="0.5"/>
    <s v="2 - Good  (46-70%)"/>
    <m/>
    <s v="Actual Cost"/>
    <n v="132456.48000000001"/>
    <m/>
    <n v="0"/>
    <n v="0"/>
    <n v="0"/>
    <n v="132456.48000000001"/>
    <n v="5676.7062857142882"/>
    <n v="0"/>
    <m/>
    <m/>
    <n v="-126779.77371428572"/>
    <m/>
    <s v="NO"/>
    <m/>
    <m/>
    <n v="-3784.4708571428587"/>
    <n v="-315.37257142857158"/>
    <m/>
    <s v="Straight line"/>
    <n v="0"/>
    <n v="-130564.24457142859"/>
    <m/>
    <m/>
    <m/>
    <m/>
    <n v="0"/>
    <n v="1892.2354285714246"/>
    <m/>
    <m/>
    <m/>
    <s v="Purchased"/>
    <s v="Own funding"/>
    <m/>
    <s v="N.Gawula"/>
    <m/>
    <m/>
    <m/>
    <m/>
    <m/>
  </r>
  <r>
    <s v="NHC000950"/>
    <n v="17"/>
    <s v="PPE"/>
    <x v="0"/>
    <s v="MOV"/>
    <x v="0"/>
    <s v="OTH"/>
    <x v="2"/>
    <s v="OTH"/>
    <s v="Other Assets"/>
    <s v="Main offices"/>
    <s v="Main offices"/>
    <s v="OTH"/>
    <s v="5000VA/4000W Inverter with Vision fully - Sealed deep cycle"/>
    <s v="OTH"/>
    <m/>
    <s v="5000VA/4000W Inverter with Vision fully - Sealed deep cycle"/>
    <s v="Cost Model"/>
    <s v="Owned"/>
    <s v="Core"/>
    <x v="0"/>
    <s v="Finance and Administration : Asset Management"/>
    <s v="FX005002001000000000000000000000000"/>
    <s v="IA002015001018001001000000000000000000"/>
    <n v="1"/>
    <s v="15/12/2016"/>
    <d v="2016-12-15T00:00:00"/>
    <s v="NO"/>
    <s v="Yes"/>
    <d v="2022-03-31T00:00:00"/>
    <s v="NA - Actual Cost"/>
    <n v="3"/>
    <n v="0"/>
    <n v="0"/>
    <s v="No Change"/>
    <m/>
    <m/>
    <n v="1.5"/>
    <m/>
    <n v="1.5"/>
    <n v="0.5"/>
    <s v="2 - Good  (46-70%)"/>
    <m/>
    <s v="Actual Cost"/>
    <n v="166739.76"/>
    <m/>
    <n v="0"/>
    <n v="0"/>
    <n v="0"/>
    <n v="166739.76"/>
    <n v="7145.989714285708"/>
    <n v="0"/>
    <m/>
    <m/>
    <n v="-159593.7702857143"/>
    <m/>
    <s v="NO"/>
    <m/>
    <m/>
    <n v="-4763.993142857139"/>
    <n v="-396.99942857142827"/>
    <m/>
    <s v="Straight line"/>
    <n v="0"/>
    <n v="-164357.76342857143"/>
    <m/>
    <m/>
    <m/>
    <m/>
    <n v="0"/>
    <n v="2381.996571428579"/>
    <m/>
    <m/>
    <m/>
    <s v="Purchased"/>
    <s v="Own funding"/>
    <m/>
    <s v="N. Gawula"/>
    <m/>
    <m/>
    <m/>
    <m/>
    <m/>
  </r>
  <r>
    <s v="NHC000981"/>
    <s v="Open plan HR"/>
    <s v="PPE"/>
    <x v="0"/>
    <s v="MOV"/>
    <x v="0"/>
    <s v="OTH"/>
    <x v="2"/>
    <s v="OTH"/>
    <s v="Other Assets"/>
    <s v="Main offices"/>
    <s v="Main offices"/>
    <s v="OTH"/>
    <s v="CP 16UX600X800 Cabinet &amp; Accessories"/>
    <s v="OTH"/>
    <m/>
    <s v="CP 16UX600X800 Cabinet &amp; Accessories"/>
    <s v="Cost Model"/>
    <s v="Owned"/>
    <s v="Core"/>
    <x v="0"/>
    <s v="Finance and Administration : Asset Management"/>
    <s v="FX005002001000000000000000000000000"/>
    <s v="IA002015001018001001000000000000000000"/>
    <n v="1"/>
    <s v="15/12/2016"/>
    <d v="2016-12-15T00:00:00"/>
    <s v="NO"/>
    <s v="Yes"/>
    <d v="2022-03-31T00:00:00"/>
    <s v="NA - Actual Cost"/>
    <n v="3"/>
    <n v="0"/>
    <n v="0"/>
    <s v="No Change"/>
    <m/>
    <m/>
    <n v="1.5"/>
    <m/>
    <n v="1.5"/>
    <n v="0.5"/>
    <s v="2 - Good  (46-70%)"/>
    <m/>
    <s v="Actual Cost"/>
    <n v="150799.29999999999"/>
    <m/>
    <n v="0"/>
    <n v="0"/>
    <n v="0"/>
    <n v="150799.29999999999"/>
    <n v="6462.8271428571315"/>
    <n v="0"/>
    <m/>
    <m/>
    <n v="-144336.47285714286"/>
    <m/>
    <s v="NO"/>
    <m/>
    <m/>
    <n v="-4308.5514285714207"/>
    <n v="-359.04595238095175"/>
    <m/>
    <s v="Straight line"/>
    <n v="0"/>
    <n v="-148645.02428571429"/>
    <m/>
    <m/>
    <m/>
    <m/>
    <n v="0"/>
    <n v="2154.2757142857008"/>
    <m/>
    <m/>
    <m/>
    <s v="Purchased"/>
    <s v="Own funding"/>
    <m/>
    <s v="M. Serebolo"/>
    <m/>
    <m/>
    <m/>
    <m/>
    <m/>
  </r>
  <r>
    <n v="1036"/>
    <s v="R17"/>
    <s v="PPE"/>
    <x v="0"/>
    <s v="MOV"/>
    <x v="0"/>
    <s v="OTH"/>
    <x v="2"/>
    <s v="OTH"/>
    <s v="Other Assets"/>
    <s v="Main offices"/>
    <s v="Main offices"/>
    <s v="OTH"/>
    <s v="UNI-FI WI-FI ROUTER"/>
    <s v="OTH"/>
    <m/>
    <s v="UNI-FI WI-FI ROUTER"/>
    <s v="Cost Model"/>
    <s v="Owned"/>
    <s v="Core"/>
    <x v="0"/>
    <s v="Finance and Administration : Asset Management"/>
    <s v="FX005002001000000000000000000000000"/>
    <s v="IA002015001018001001000000000000000000"/>
    <n v="1"/>
    <s v="15/12/2016"/>
    <d v="2016-12-15T00:00:00"/>
    <s v="NO"/>
    <s v="Yes"/>
    <d v="2022-03-31T00:00:00"/>
    <s v="NA - Actual Cost"/>
    <n v="3"/>
    <n v="0"/>
    <n v="0"/>
    <s v="No Change"/>
    <m/>
    <m/>
    <n v="1.5"/>
    <m/>
    <n v="1.5"/>
    <n v="0.5"/>
    <s v="5 - Very poor (0-10%)"/>
    <m/>
    <s v="Actual Cost"/>
    <n v="9168.57"/>
    <m/>
    <n v="0"/>
    <n v="0"/>
    <n v="0"/>
    <n v="9168.57"/>
    <n v="392.93871428571401"/>
    <n v="0"/>
    <m/>
    <m/>
    <n v="-8775.6312857142857"/>
    <m/>
    <s v="NO"/>
    <m/>
    <m/>
    <n v="-261.95914285714269"/>
    <n v="-21.829928571428557"/>
    <m/>
    <s v="Straight line"/>
    <n v="0"/>
    <n v="-9037.5904285714278"/>
    <m/>
    <m/>
    <m/>
    <m/>
    <n v="0"/>
    <n v="130.97957142857194"/>
    <m/>
    <m/>
    <m/>
    <s v="Purchased"/>
    <s v="Own funding"/>
    <m/>
    <s v="N.Gawula"/>
    <m/>
    <m/>
    <m/>
    <m/>
    <m/>
  </r>
  <r>
    <n v="1502"/>
    <s v="R23"/>
    <s v="PPE"/>
    <x v="0"/>
    <s v="MOV"/>
    <x v="0"/>
    <s v="OTH"/>
    <x v="2"/>
    <s v="OTH"/>
    <s v="Other Assets"/>
    <s v="Main offices"/>
    <s v="Main offices"/>
    <s v="OTH"/>
    <s v="Dell Laptop"/>
    <s v="OTH"/>
    <m/>
    <s v="DELL LAPTOP PRECISION 3561"/>
    <s v="Cost Model"/>
    <s v="Owned"/>
    <s v="Core"/>
    <x v="0"/>
    <s v="Finance and Administration : Asset Management"/>
    <s v="FX005002001000000000000000000000000"/>
    <s v="IA002015001018001001000000000000000000"/>
    <n v="1"/>
    <s v="23/05/2017"/>
    <d v="2017-05-23T00:00:00"/>
    <s v="NO"/>
    <s v="Yes"/>
    <d v="2022-03-31T00:00:00"/>
    <s v="NA - Actual Cost"/>
    <n v="3"/>
    <n v="0"/>
    <n v="0"/>
    <s v="No Change"/>
    <m/>
    <m/>
    <n v="1.5"/>
    <m/>
    <n v="1.5"/>
    <n v="0.5"/>
    <s v="2 - Good  (46-70%)"/>
    <m/>
    <s v="Actual Cost"/>
    <n v="34411.089999999997"/>
    <m/>
    <n v="0"/>
    <n v="0"/>
    <n v="0"/>
    <n v="34411.089999999997"/>
    <n v="1474.7609999999986"/>
    <n v="0"/>
    <m/>
    <m/>
    <n v="-32936.328999999998"/>
    <m/>
    <s v="NO"/>
    <m/>
    <m/>
    <n v="-983.17399999999907"/>
    <n v="-81.931166666666584"/>
    <m/>
    <s v="Straight line"/>
    <n v="0"/>
    <n v="-33919.502999999997"/>
    <m/>
    <m/>
    <m/>
    <m/>
    <n v="0"/>
    <n v="491.58699999999953"/>
    <m/>
    <m/>
    <m/>
    <s v="Purchased"/>
    <s v="Own funding"/>
    <m/>
    <s v="Tl. Shilakwe"/>
    <m/>
    <m/>
    <m/>
    <m/>
    <m/>
  </r>
  <r>
    <n v="1066"/>
    <s v="Server room finance"/>
    <s v="PPE"/>
    <x v="0"/>
    <s v="MOV"/>
    <x v="0"/>
    <s v="OTH"/>
    <x v="2"/>
    <s v="OTH"/>
    <s v="Other Assets"/>
    <s v="Main offices"/>
    <s v="Main offices"/>
    <s v="OTH"/>
    <s v="Desktop Computer CPU (Reception)"/>
    <s v="OTH"/>
    <m/>
    <s v="Desktop Computer CPU (Reception)"/>
    <s v="Cost Model"/>
    <s v="Owned"/>
    <s v="Core"/>
    <x v="0"/>
    <s v="Finance and Administration : Asset Management"/>
    <s v="FX005002001000000000000000000000000"/>
    <s v="IA002015001018001001000000000000000000"/>
    <n v="1"/>
    <s v="06/10/2017"/>
    <d v="2017-10-06T00:00:00"/>
    <s v="NO"/>
    <s v="Yes"/>
    <d v="2022-03-31T00:00:00"/>
    <s v="NA - Actual Cost"/>
    <n v="3"/>
    <n v="0"/>
    <n v="0"/>
    <s v="No Change"/>
    <m/>
    <m/>
    <n v="1.5"/>
    <m/>
    <n v="1.5"/>
    <n v="0.5"/>
    <s v="2 - Good  (46-70%)"/>
    <m/>
    <s v="Actual Cost"/>
    <n v="14618.96"/>
    <m/>
    <n v="0"/>
    <n v="0"/>
    <n v="0"/>
    <n v="14618.96"/>
    <n v="626.5268571428569"/>
    <n v="0"/>
    <m/>
    <m/>
    <n v="-13992.433142857142"/>
    <m/>
    <s v="NO"/>
    <m/>
    <m/>
    <n v="-417.68457142857125"/>
    <n v="-34.807047619047601"/>
    <m/>
    <s v="Straight line"/>
    <n v="0"/>
    <n v="-14410.117714285714"/>
    <m/>
    <m/>
    <m/>
    <m/>
    <n v="0"/>
    <n v="208.84228571428503"/>
    <m/>
    <m/>
    <m/>
    <s v="Purchased"/>
    <s v="Own funding"/>
    <m/>
    <s v="N.Gawula"/>
    <m/>
    <m/>
    <m/>
    <m/>
    <m/>
  </r>
  <r>
    <n v="1065"/>
    <s v="Open Plan core business"/>
    <s v="PPE"/>
    <x v="0"/>
    <s v="MOV"/>
    <x v="0"/>
    <s v="OTH"/>
    <x v="2"/>
    <s v="OTH"/>
    <s v="Other Assets"/>
    <s v="Main offices"/>
    <s v="Main offices"/>
    <s v="OTH"/>
    <s v="Monitor (Desktop Computer)"/>
    <s v="OTH"/>
    <m/>
    <s v="Monitor (Desktop Computer)"/>
    <s v="Cost Model"/>
    <s v="Owned"/>
    <s v="Core"/>
    <x v="0"/>
    <s v="Finance and Administration : Asset Management"/>
    <s v="FX005002001000000000000000000000000"/>
    <s v="IA002015001018001001000000000000000000"/>
    <n v="1"/>
    <s v="06/10/2017"/>
    <d v="2017-10-06T00:00:00"/>
    <s v="NO"/>
    <s v="Yes"/>
    <d v="2022-03-31T00:00:00"/>
    <s v="NA - Actual Cost"/>
    <n v="3"/>
    <n v="0"/>
    <n v="0"/>
    <s v="No Change"/>
    <m/>
    <m/>
    <n v="1.5"/>
    <m/>
    <n v="1.5"/>
    <n v="0.5"/>
    <s v="2 - Good  (46-70%)"/>
    <m/>
    <s v="Actual Cost"/>
    <n v="1537.46"/>
    <m/>
    <n v="0"/>
    <n v="0"/>
    <n v="0"/>
    <n v="1537.46"/>
    <n v="65.891142857142768"/>
    <n v="0"/>
    <m/>
    <m/>
    <n v="-1471.5688571428573"/>
    <m/>
    <s v="NO"/>
    <m/>
    <m/>
    <n v="-43.927428571428514"/>
    <n v="-3.660619047619043"/>
    <m/>
    <s v="Straight line"/>
    <n v="0"/>
    <n v="-1515.4962857142857"/>
    <m/>
    <m/>
    <m/>
    <m/>
    <n v="0"/>
    <n v="21.963714285714332"/>
    <m/>
    <m/>
    <m/>
    <s v="Purchased"/>
    <s v="Own funding"/>
    <m/>
    <s v="T. Molema"/>
    <m/>
    <m/>
    <m/>
    <m/>
    <m/>
  </r>
  <r>
    <n v="1081"/>
    <s v="R2 Open plan finance "/>
    <s v="PPE"/>
    <x v="0"/>
    <s v="MOV"/>
    <x v="0"/>
    <s v="OTH"/>
    <x v="2"/>
    <s v="OTH"/>
    <s v="Other Assets"/>
    <s v="Main offices"/>
    <s v="Main offices"/>
    <s v="OTH"/>
    <s v="DESKTOP - DELL MONITOR"/>
    <s v="OTH"/>
    <m/>
    <s v="DESKTOP - DELL MONITOR"/>
    <s v="Cost Model"/>
    <s v="Owned"/>
    <s v="Core"/>
    <x v="0"/>
    <s v="Finance and Administration : Asset Management"/>
    <s v="FX005002001000000000000000000000000"/>
    <s v="IA002015001018001001000000000000000000"/>
    <n v="1"/>
    <s v="08/11/2017"/>
    <d v="2017-11-08T00:00:00"/>
    <s v="NO"/>
    <s v="Yes"/>
    <d v="2022-03-31T00:00:00"/>
    <s v="NA - Actual Cost"/>
    <n v="3"/>
    <n v="0"/>
    <n v="0"/>
    <s v="No Change"/>
    <m/>
    <m/>
    <n v="1.5"/>
    <m/>
    <n v="1.5"/>
    <n v="0.5"/>
    <s v="2 - Good  (46-70%)"/>
    <m/>
    <s v="Actual Cost"/>
    <n v="2229.9"/>
    <m/>
    <n v="0"/>
    <n v="0"/>
    <n v="0"/>
    <n v="2229.9"/>
    <n v="95.567142857142699"/>
    <n v="0"/>
    <m/>
    <m/>
    <n v="-2134.3328571428574"/>
    <m/>
    <s v="NO"/>
    <m/>
    <m/>
    <n v="-63.711428571428463"/>
    <n v="-5.3092857142857053"/>
    <m/>
    <s v="Straight line"/>
    <n v="0"/>
    <n v="-2198.0442857142857"/>
    <m/>
    <m/>
    <m/>
    <m/>
    <n v="0"/>
    <n v="31.855714285714384"/>
    <m/>
    <m/>
    <m/>
    <s v="Purchased"/>
    <s v="Own funding"/>
    <m/>
    <s v="N. Gawula"/>
    <m/>
    <m/>
    <m/>
    <m/>
    <m/>
  </r>
  <r>
    <n v="1074"/>
    <s v="R2"/>
    <s v="PPE"/>
    <x v="0"/>
    <s v="MOV"/>
    <x v="0"/>
    <s v="OTH"/>
    <x v="2"/>
    <s v="OTH"/>
    <s v="Other Assets"/>
    <s v="Main offices"/>
    <s v="Main offices"/>
    <s v="OTH"/>
    <s v="Macbook Air 1.6Ghz, 256HDD/Ngwaila/Nceba"/>
    <s v="OTH"/>
    <m/>
    <s v="Macbook Air 1.6Ghz, 256HDD/Ngwaila/Nceba"/>
    <s v="Cost Model"/>
    <s v="Owned"/>
    <s v="Core"/>
    <x v="0"/>
    <s v="Finance and Administration : Asset Management"/>
    <s v="FX005002001000000000000000000000000"/>
    <s v="IA002015001018001001000000000000000000"/>
    <n v="1"/>
    <s v="08/11/2017"/>
    <d v="2017-11-08T00:00:00"/>
    <s v="NO"/>
    <s v="Yes"/>
    <d v="2022-03-31T00:00:00"/>
    <s v="NA - Actual Cost"/>
    <n v="3"/>
    <n v="0"/>
    <n v="0"/>
    <s v="No Change"/>
    <m/>
    <m/>
    <n v="0"/>
    <m/>
    <n v="0"/>
    <n v="-1"/>
    <s v="3 - Fair (26-45%)"/>
    <m/>
    <s v="Actual Cost"/>
    <n v="33058.35"/>
    <m/>
    <n v="0"/>
    <m/>
    <n v="0"/>
    <n v="33058.35"/>
    <n v="0"/>
    <n v="0"/>
    <m/>
    <m/>
    <n v="-33058.35"/>
    <m/>
    <s v="NO"/>
    <m/>
    <m/>
    <n v="0"/>
    <n v="0"/>
    <m/>
    <s v="Straight line"/>
    <n v="0"/>
    <n v="-33058.35"/>
    <m/>
    <m/>
    <m/>
    <m/>
    <n v="0"/>
    <n v="0"/>
    <m/>
    <m/>
    <m/>
    <s v="Purchased"/>
    <s v="Own funding"/>
    <m/>
    <s v="N. Gawula"/>
    <m/>
    <m/>
    <m/>
    <m/>
    <m/>
  </r>
  <r>
    <s v="001455"/>
    <s v="Counciler"/>
    <s v="PPE"/>
    <x v="0"/>
    <s v="MOV"/>
    <x v="0"/>
    <s v="OTH"/>
    <x v="2"/>
    <s v="OTH"/>
    <s v="Other Assets"/>
    <s v="Main offices"/>
    <s v="Main offices"/>
    <s v="OTH"/>
    <s v="Dell Laptop"/>
    <s v="OTH"/>
    <m/>
    <s v="Dell Laptop"/>
    <s v="Cost Model"/>
    <s v="Owned"/>
    <s v="Core"/>
    <x v="0"/>
    <s v="Finance and Administration : Asset Management"/>
    <s v="FX005002001000000000000000000000000"/>
    <s v="IA002015001018001001000000000000000000"/>
    <n v="1"/>
    <s v="24/08/2018"/>
    <d v="2018-08-24T00:00:00"/>
    <s v="NO"/>
    <s v="Yes"/>
    <d v="2022-03-31T00:00:00"/>
    <s v="NA - Actual Cost"/>
    <n v="3"/>
    <n v="0"/>
    <n v="0"/>
    <s v="No Change"/>
    <m/>
    <m/>
    <n v="1.5"/>
    <m/>
    <n v="1.5"/>
    <n v="0.5"/>
    <s v="2 - Good  (46-70%)"/>
    <m/>
    <s v="Actual Cost"/>
    <n v="28678.44"/>
    <m/>
    <n v="0"/>
    <n v="0"/>
    <n v="0"/>
    <n v="28678.44"/>
    <n v="1229.0760000000009"/>
    <n v="0"/>
    <m/>
    <m/>
    <n v="-27449.363999999998"/>
    <m/>
    <s v="NO"/>
    <m/>
    <m/>
    <n v="-819.38400000000058"/>
    <n v="-68.282000000000053"/>
    <m/>
    <s v="Straight line"/>
    <n v="0"/>
    <n v="-28268.748"/>
    <m/>
    <m/>
    <m/>
    <m/>
    <n v="0"/>
    <n v="409.6919999999991"/>
    <m/>
    <m/>
    <m/>
    <s v="Purchased"/>
    <s v="Own funding"/>
    <m/>
    <s v="O.Mereki"/>
    <m/>
    <m/>
    <m/>
    <m/>
    <m/>
  </r>
  <r>
    <n v="1265"/>
    <s v="Open Plan Co business "/>
    <s v="PPE"/>
    <x v="0"/>
    <s v="MOV"/>
    <x v="0"/>
    <s v="OTH"/>
    <x v="2"/>
    <s v="OTH"/>
    <s v="Other Assets"/>
    <s v="Main offices"/>
    <s v="Main offices"/>
    <s v="OTH"/>
    <s v="Dell Laptop/CFO New"/>
    <s v="OTH"/>
    <m/>
    <s v="Dell Laptop/CFO New"/>
    <s v="Cost Model"/>
    <s v="Owned"/>
    <s v="Core"/>
    <x v="0"/>
    <s v="Finance and Administration : Asset Management"/>
    <s v="FX005002001000000000000000000000000"/>
    <s v="IA002015001018001001000000000000000000"/>
    <n v="1"/>
    <s v="16/08/2018"/>
    <d v="2018-08-16T00:00:00"/>
    <s v="NO"/>
    <s v="Yes"/>
    <d v="2022-03-31T00:00:00"/>
    <s v="NA - Actual Cost"/>
    <n v="3"/>
    <n v="0"/>
    <n v="0"/>
    <s v="No Change"/>
    <m/>
    <m/>
    <n v="1.5"/>
    <m/>
    <n v="1.5"/>
    <n v="0.5"/>
    <s v="4 - Poor (11-25%)"/>
    <m/>
    <s v="Actual Cost"/>
    <n v="28678.44"/>
    <m/>
    <n v="0"/>
    <n v="0"/>
    <n v="0"/>
    <n v="28678.44"/>
    <n v="1229.0760000000009"/>
    <n v="0"/>
    <m/>
    <m/>
    <n v="-27449.363999999998"/>
    <m/>
    <s v="NO"/>
    <m/>
    <m/>
    <n v="-819.38400000000058"/>
    <n v="-68.282000000000053"/>
    <m/>
    <s v="Straight line"/>
    <n v="0"/>
    <n v="-28268.748"/>
    <m/>
    <m/>
    <m/>
    <m/>
    <n v="0"/>
    <n v="409.6919999999991"/>
    <m/>
    <m/>
    <m/>
    <s v="Purchased"/>
    <s v="Own funding"/>
    <m/>
    <s v="R. Mandiwana"/>
    <m/>
    <m/>
    <m/>
    <m/>
    <m/>
  </r>
  <r>
    <n v="1110"/>
    <s v="Open plan co- business "/>
    <s v="PPE"/>
    <x v="0"/>
    <s v="MOV"/>
    <x v="0"/>
    <s v="OTH"/>
    <x v="2"/>
    <s v="OTH"/>
    <s v="Other Assets"/>
    <s v="Main offices"/>
    <s v="Main offices"/>
    <s v="OTH"/>
    <s v="Dell Laptop (Intern Scm) - Mandla"/>
    <s v="OTH"/>
    <m/>
    <s v="Dell Laptop (Intern Scm) - Mandla"/>
    <s v="Cost Model"/>
    <s v="Owned"/>
    <s v="Core"/>
    <x v="0"/>
    <s v="Finance and Administration : Asset Management"/>
    <s v="FX005002001000000000000000000000000"/>
    <s v="IA002015001018001001000000000000000000"/>
    <n v="1"/>
    <s v="02/08/2018"/>
    <d v="2018-08-02T00:00:00"/>
    <s v="NO"/>
    <s v="Yes"/>
    <d v="2022-03-31T00:00:00"/>
    <s v="NA - Actual Cost"/>
    <n v="3"/>
    <n v="0"/>
    <n v="0"/>
    <s v="No Change"/>
    <m/>
    <m/>
    <n v="1.5"/>
    <m/>
    <n v="1.5"/>
    <n v="0.5"/>
    <s v="2 - Good  (46-70%)"/>
    <m/>
    <s v="Actual Cost"/>
    <n v="15659.36"/>
    <m/>
    <n v="0"/>
    <m/>
    <n v="0"/>
    <n v="15659.36"/>
    <n v="671.1154285714274"/>
    <n v="0"/>
    <m/>
    <m/>
    <n v="-14988.244571428573"/>
    <m/>
    <s v="NO"/>
    <m/>
    <m/>
    <n v="-447.41028571428495"/>
    <n v="-37.28419047619041"/>
    <m/>
    <s v="Straight line"/>
    <n v="0"/>
    <n v="-15435.654857142858"/>
    <m/>
    <m/>
    <m/>
    <m/>
    <n v="0"/>
    <n v="223.70514285714307"/>
    <m/>
    <m/>
    <m/>
    <s v="Purchased"/>
    <s v="Own funding"/>
    <m/>
    <s v="T.Mpahlele"/>
    <m/>
    <m/>
    <m/>
    <m/>
    <m/>
  </r>
  <r>
    <n v="1293"/>
    <s v=" R1"/>
    <s v="PPE"/>
    <x v="0"/>
    <s v="MOV"/>
    <x v="0"/>
    <s v="OTH"/>
    <x v="2"/>
    <s v="OTH"/>
    <s v="Other Assets"/>
    <s v="Main offices"/>
    <s v="Main offices"/>
    <s v="OTH"/>
    <s v="DELL LAPTOP/Kagiso"/>
    <s v="OTH"/>
    <m/>
    <s v="DELL LAPTOP/Kagiso"/>
    <s v="Cost Model"/>
    <s v="Owned"/>
    <s v="Core"/>
    <x v="0"/>
    <s v="Finance and Administration : Asset Management"/>
    <s v="FX005002001000000000000000000000000"/>
    <s v="IA002015001018001001000000000000000000"/>
    <n v="1"/>
    <s v="02/10/2018"/>
    <d v="2018-10-02T00:00:00"/>
    <s v="NO"/>
    <s v="Yes"/>
    <d v="2022-03-31T00:00:00"/>
    <s v="NA - Actual Cost"/>
    <n v="3"/>
    <n v="0"/>
    <n v="0"/>
    <s v="No Change"/>
    <m/>
    <m/>
    <n v="1.5"/>
    <m/>
    <n v="1.5"/>
    <n v="0.5"/>
    <s v="2 - Good  (46-70%)"/>
    <m/>
    <s v="Actual Cost"/>
    <n v="28678.44"/>
    <m/>
    <n v="0"/>
    <n v="0"/>
    <n v="0"/>
    <n v="28678.44"/>
    <n v="1229.0760000000009"/>
    <n v="0"/>
    <m/>
    <m/>
    <n v="-27449.363999999998"/>
    <m/>
    <s v="NO"/>
    <m/>
    <m/>
    <n v="-819.38400000000058"/>
    <n v="-68.282000000000053"/>
    <m/>
    <s v="Straight line"/>
    <n v="0"/>
    <n v="-28268.748"/>
    <m/>
    <m/>
    <m/>
    <m/>
    <n v="0"/>
    <n v="409.6919999999991"/>
    <m/>
    <m/>
    <m/>
    <s v="Purchased"/>
    <s v="Own funding"/>
    <m/>
    <s v="M.letsoalo"/>
    <m/>
    <m/>
    <m/>
    <m/>
    <m/>
  </r>
  <r>
    <n v="1299"/>
    <s v="R10"/>
    <s v="PPE"/>
    <x v="0"/>
    <s v="MOV"/>
    <x v="0"/>
    <s v="OTH"/>
    <x v="2"/>
    <s v="OTH"/>
    <s v="Other Assets"/>
    <s v="Main offices"/>
    <s v="Main offices"/>
    <s v="OTH"/>
    <s v="DELL LAPTOP/Matha"/>
    <s v="OTH"/>
    <m/>
    <s v="DELL LAPTOP/Matha"/>
    <s v="Cost Model"/>
    <s v="Owned"/>
    <s v="Core"/>
    <x v="0"/>
    <s v="Finance and Administration : Asset Management"/>
    <s v="FX005002001000000000000000000000000"/>
    <s v="IA002015001018001001000000000000000000"/>
    <n v="1"/>
    <s v="02/10/2018"/>
    <d v="2018-10-02T00:00:00"/>
    <s v="NO"/>
    <s v="Yes"/>
    <d v="2022-03-31T00:00:00"/>
    <s v="NA - Actual Cost"/>
    <n v="3"/>
    <n v="0"/>
    <n v="0"/>
    <s v="No Change"/>
    <m/>
    <m/>
    <n v="1.5"/>
    <m/>
    <n v="1.5"/>
    <n v="0.5"/>
    <s v="3 - Fair (26-45%)"/>
    <m/>
    <s v="Actual Cost"/>
    <n v="28678.400000000001"/>
    <m/>
    <n v="0"/>
    <n v="0"/>
    <n v="0"/>
    <n v="28678.400000000001"/>
    <n v="1229.0742857142868"/>
    <n v="0"/>
    <m/>
    <m/>
    <n v="-27449.325714285715"/>
    <m/>
    <s v="NO"/>
    <m/>
    <m/>
    <n v="-819.38285714285792"/>
    <n v="-68.281904761904826"/>
    <m/>
    <s v="Straight line"/>
    <n v="0"/>
    <n v="-28268.708571428571"/>
    <m/>
    <m/>
    <m/>
    <m/>
    <n v="0"/>
    <n v="409.69142857143015"/>
    <m/>
    <m/>
    <m/>
    <s v="Purchased"/>
    <s v="Own funding"/>
    <m/>
    <s v="M. Chamane"/>
    <m/>
    <m/>
    <m/>
    <m/>
    <m/>
  </r>
  <r>
    <n v="1445"/>
    <s v="Open plan co- business "/>
    <s v="PPE"/>
    <x v="0"/>
    <s v="MOV"/>
    <x v="0"/>
    <s v="OTH"/>
    <x v="2"/>
    <s v="OTH"/>
    <s v="Other Assets"/>
    <s v="Main offices"/>
    <s v="Main offices"/>
    <s v="OTH"/>
    <s v="Dell Laptop/Ntebo"/>
    <s v="OTH"/>
    <m/>
    <s v="Dell Laptop/Ntebo"/>
    <s v="Cost Model"/>
    <s v="Owned"/>
    <s v="Core"/>
    <x v="0"/>
    <s v="Finance and Administration : Asset Management"/>
    <s v="FX005002001000000000000000000000000"/>
    <s v="IA002015001018001001000000000000000000"/>
    <n v="1"/>
    <s v="10/12/2020"/>
    <d v="2020-12-10T00:00:00"/>
    <s v="NO"/>
    <s v="Yes"/>
    <d v="2022-03-31T00:00:00"/>
    <s v="NA - Actual Cost"/>
    <n v="3"/>
    <n v="0"/>
    <n v="0"/>
    <s v="No Change"/>
    <m/>
    <m/>
    <n v="0.4465753424657537"/>
    <m/>
    <n v="0.4465753424657537"/>
    <n v="-0.5534246575342463"/>
    <s v="3 - Fair (26-45%)"/>
    <m/>
    <s v="Actual Cost"/>
    <n v="25858.92"/>
    <m/>
    <n v="0"/>
    <n v="0"/>
    <n v="0"/>
    <n v="25858.92"/>
    <n v="478.64141008390652"/>
    <n v="0"/>
    <m/>
    <m/>
    <n v="-25380.278589916092"/>
    <m/>
    <s v="NO"/>
    <m/>
    <m/>
    <n v="-1071.8043845437164"/>
    <n v="-89.317032045309702"/>
    <m/>
    <s v="Straight line"/>
    <n v="0"/>
    <n v="-26452.082974459809"/>
    <m/>
    <m/>
    <m/>
    <m/>
    <n v="0"/>
    <n v="-593.16297445981036"/>
    <m/>
    <m/>
    <m/>
    <s v="Purchased"/>
    <s v="Own funding"/>
    <m/>
    <s v="T.Molema"/>
    <m/>
    <m/>
    <m/>
    <m/>
    <m/>
  </r>
  <r>
    <n v="1444"/>
    <s v="Open Plan Risk"/>
    <s v="PPE"/>
    <x v="0"/>
    <s v="MOV"/>
    <x v="0"/>
    <s v="OTH"/>
    <x v="2"/>
    <s v="OTH"/>
    <s v="Other Assets"/>
    <s v="Main offices"/>
    <s v="Main offices"/>
    <s v="OTH"/>
    <s v="Dell Laptop/Gugu broken"/>
    <s v="OTH"/>
    <m/>
    <s v="Dell Laptop/Gugu broken"/>
    <s v="Cost Model"/>
    <s v="Owned"/>
    <s v="Core"/>
    <x v="0"/>
    <s v="Finance and Administration : Asset Management"/>
    <s v="FX005002001000000000000000000000000"/>
    <s v="IA002015001018001001000000000000000000"/>
    <n v="1"/>
    <s v="10/12/2020"/>
    <d v="2020-12-10T00:00:00"/>
    <s v="NO"/>
    <s v="Yes"/>
    <d v="2022-03-31T00:00:00"/>
    <s v="NA - Actual Cost"/>
    <n v="3"/>
    <n v="0"/>
    <n v="0"/>
    <s v="No Change"/>
    <m/>
    <m/>
    <n v="0.4465753424657537"/>
    <m/>
    <n v="0.4465753424657537"/>
    <n v="-0.5534246575342463"/>
    <s v="3 - Fair (26-45%)"/>
    <m/>
    <s v="Actual Cost"/>
    <n v="25858.92"/>
    <m/>
    <n v="0"/>
    <n v="0"/>
    <n v="0"/>
    <n v="25858.92"/>
    <n v="478.64141008390652"/>
    <n v="0"/>
    <m/>
    <m/>
    <n v="-25380.278589916092"/>
    <m/>
    <s v="NO"/>
    <m/>
    <m/>
    <n v="-1071.8043845437164"/>
    <n v="-89.317032045309702"/>
    <m/>
    <s v="Straight line"/>
    <n v="0"/>
    <n v="-26452.082974459809"/>
    <m/>
    <m/>
    <m/>
    <m/>
    <n v="0"/>
    <n v="-593.16297445981036"/>
    <m/>
    <m/>
    <m/>
    <s v="Purchased"/>
    <s v="Own funding"/>
    <m/>
    <s v="G.Hlatshwayo"/>
    <m/>
    <m/>
    <m/>
    <m/>
    <m/>
  </r>
  <r>
    <n v="1441"/>
    <s v="Open Plan HR"/>
    <s v="PPE"/>
    <x v="0"/>
    <s v="MOV"/>
    <x v="0"/>
    <s v="OTH"/>
    <x v="2"/>
    <s v="OTH"/>
    <s v="Other Assets"/>
    <s v="Main offices"/>
    <s v="Main offices"/>
    <s v="OTH"/>
    <s v="Dell Laptop/Ntshanga New"/>
    <s v="OTH"/>
    <m/>
    <s v="Dell Laptop/Ntshanga New"/>
    <s v="Cost Model"/>
    <s v="Owned"/>
    <s v="Core"/>
    <x v="0"/>
    <s v="Finance and Administration : Asset Management"/>
    <s v="FX005002001000000000000000000000000"/>
    <s v="IA002015001018001001000000000000000000"/>
    <n v="1"/>
    <s v="10/12/2020"/>
    <d v="2020-12-10T00:00:00"/>
    <s v="NO"/>
    <s v="Yes"/>
    <d v="2022-03-31T00:00:00"/>
    <s v="NA - Actual Cost"/>
    <n v="3"/>
    <n v="0"/>
    <n v="0"/>
    <s v="No Change"/>
    <m/>
    <m/>
    <n v="0.4465753424657537"/>
    <m/>
    <n v="0.4465753424657537"/>
    <n v="-0.5534246575342463"/>
    <s v="3 - Fair (26-45%)"/>
    <m/>
    <s v="Actual Cost"/>
    <n v="25858.92"/>
    <m/>
    <n v="0"/>
    <n v="0"/>
    <n v="0"/>
    <n v="25858.92"/>
    <n v="478.64141008390652"/>
    <n v="0"/>
    <m/>
    <m/>
    <n v="-25380.278589916092"/>
    <m/>
    <s v="NO"/>
    <m/>
    <m/>
    <n v="-1071.8043845437164"/>
    <n v="-89.317032045309702"/>
    <m/>
    <s v="Straight line"/>
    <n v="0"/>
    <n v="-26452.082974459809"/>
    <m/>
    <m/>
    <m/>
    <m/>
    <n v="0"/>
    <n v="-593.16297445981036"/>
    <m/>
    <m/>
    <m/>
    <s v="Purchased"/>
    <s v="Own funding"/>
    <m/>
    <s v="M. Serebolo"/>
    <m/>
    <m/>
    <m/>
    <m/>
    <m/>
  </r>
  <r>
    <n v="1438"/>
    <s v="R2"/>
    <s v="PPE"/>
    <x v="0"/>
    <s v="MOV"/>
    <x v="0"/>
    <s v="OTH"/>
    <x v="2"/>
    <s v="OTH"/>
    <s v="Other Assets"/>
    <s v="Main offices"/>
    <s v="Main offices"/>
    <s v="OTH"/>
    <s v="Dell Laptop/Mabe"/>
    <s v="OTH"/>
    <m/>
    <s v="Dell Laptop/Mabe"/>
    <s v="Cost Model"/>
    <s v="Owned"/>
    <s v="Core"/>
    <x v="0"/>
    <s v="Finance and Administration : Asset Management"/>
    <s v="FX005002001000000000000000000000000"/>
    <s v="IA002015001018001001000000000000000000"/>
    <n v="1"/>
    <s v="10/12/2020"/>
    <d v="2020-12-10T00:00:00"/>
    <s v="NO"/>
    <s v="Yes"/>
    <d v="2022-03-31T00:00:00"/>
    <s v="NA - Actual Cost"/>
    <n v="3"/>
    <n v="0"/>
    <n v="0"/>
    <s v="No Change"/>
    <m/>
    <m/>
    <n v="0.4465753424657537"/>
    <m/>
    <n v="0.4465753424657537"/>
    <n v="-0.5534246575342463"/>
    <s v="3 - Fair (26-45%)"/>
    <m/>
    <s v="Actual Cost"/>
    <n v="25858.92"/>
    <m/>
    <n v="0"/>
    <n v="0"/>
    <n v="0"/>
    <n v="25858.92"/>
    <n v="478.64141008390652"/>
    <n v="0"/>
    <m/>
    <m/>
    <n v="-25380.278589916092"/>
    <m/>
    <s v="NO"/>
    <m/>
    <m/>
    <n v="-1071.8043845437164"/>
    <n v="-89.317032045309702"/>
    <m/>
    <s v="Straight line"/>
    <n v="0"/>
    <n v="-26452.082974459809"/>
    <m/>
    <m/>
    <m/>
    <m/>
    <n v="0"/>
    <n v="-593.16297445981036"/>
    <m/>
    <m/>
    <m/>
    <s v="Purchased"/>
    <s v="Own funding"/>
    <m/>
    <s v="N. Gawula"/>
    <m/>
    <m/>
    <m/>
    <m/>
    <m/>
  </r>
  <r>
    <n v="1442"/>
    <s v="Open Plan Communications"/>
    <s v="PPE"/>
    <x v="0"/>
    <s v="MOV"/>
    <x v="0"/>
    <s v="OTH"/>
    <x v="2"/>
    <s v="OTH"/>
    <s v="Other Assets"/>
    <s v="Main offices"/>
    <s v="Main offices"/>
    <s v="OTH"/>
    <s v="Dell Laptop/Matanato New"/>
    <s v="OTH"/>
    <m/>
    <s v="Dell Laptop/Matanato New"/>
    <s v="Cost Model"/>
    <s v="Owned"/>
    <s v="Core"/>
    <x v="0"/>
    <s v="Finance and Administration : Asset Management"/>
    <s v="FX005002001000000000000000000000000"/>
    <s v="IA002015001018001001000000000000000000"/>
    <n v="1"/>
    <s v="10/12/2020"/>
    <d v="2020-12-10T00:00:00"/>
    <s v="NO"/>
    <s v="Yes"/>
    <d v="2022-03-31T00:00:00"/>
    <s v="NA - Actual Cost"/>
    <n v="3"/>
    <n v="0"/>
    <n v="0"/>
    <s v="No Change"/>
    <m/>
    <m/>
    <n v="0.4465753424657537"/>
    <m/>
    <n v="0.4465753424657537"/>
    <n v="-0.5534246575342463"/>
    <s v="3 - Fair (26-45%)"/>
    <m/>
    <s v="Actual Cost"/>
    <n v="25858.92"/>
    <m/>
    <n v="0"/>
    <n v="0"/>
    <n v="0"/>
    <n v="25858.92"/>
    <n v="478.64141008390652"/>
    <n v="0"/>
    <m/>
    <m/>
    <n v="-25380.278589916092"/>
    <m/>
    <s v="NO"/>
    <m/>
    <m/>
    <n v="-1071.8043845437164"/>
    <n v="-89.317032045309702"/>
    <m/>
    <s v="Straight line"/>
    <n v="0"/>
    <n v="-26452.082974459809"/>
    <m/>
    <m/>
    <m/>
    <m/>
    <n v="0"/>
    <n v="-593.16297445981036"/>
    <m/>
    <m/>
    <m/>
    <s v="Purchased"/>
    <s v="Own funding"/>
    <m/>
    <s v="S. Makhura"/>
    <m/>
    <m/>
    <m/>
    <m/>
    <m/>
  </r>
  <r>
    <n v="1518"/>
    <s v="R1 Open plan finance "/>
    <s v="PPE"/>
    <x v="0"/>
    <s v="MOV"/>
    <x v="0"/>
    <s v="OTH"/>
    <x v="2"/>
    <s v="OTH"/>
    <s v="Other Assets"/>
    <s v="Main offices"/>
    <s v="Main offices"/>
    <s v="OTH"/>
    <s v="DELL LAPTOP/Nozipho"/>
    <s v="OTH"/>
    <m/>
    <s v="DELL LAPTOP/Nozipho"/>
    <s v="Cost Model"/>
    <s v="Owned"/>
    <s v="Core"/>
    <x v="0"/>
    <s v="Finance and Administration : Asset Management"/>
    <s v="FX005002001000000000000000000000000"/>
    <s v="IA002015001018001001000000000000000000"/>
    <n v="1"/>
    <s v="12/01/2022"/>
    <d v="2022-01-12T00:00:00"/>
    <s v="NO"/>
    <s v="Yes"/>
    <d v="2022-03-31T00:00:00"/>
    <s v="NA - Actual Cost"/>
    <n v="3"/>
    <n v="0"/>
    <n v="0"/>
    <s v="No Change"/>
    <m/>
    <m/>
    <n v="1.536986301369863"/>
    <m/>
    <n v="1.536986301369863"/>
    <n v="0.53698630136986303"/>
    <s v="2 - Good  (46-70%)"/>
    <m/>
    <s v="Actual Cost"/>
    <n v="30630.25"/>
    <m/>
    <n v="0"/>
    <n v="0"/>
    <n v="0"/>
    <n v="30630.25"/>
    <n v="7489.3800376549443"/>
    <n v="0"/>
    <m/>
    <m/>
    <n v="-23140.869962345056"/>
    <m/>
    <s v="NO"/>
    <m/>
    <m/>
    <n v="-4872.7695432157834"/>
    <n v="-406.0641286013153"/>
    <m/>
    <s v="Straight line"/>
    <n v="0"/>
    <n v="-28013.639505560837"/>
    <m/>
    <m/>
    <m/>
    <m/>
    <n v="0"/>
    <n v="2616.6104944391627"/>
    <m/>
    <m/>
    <m/>
    <s v="Purchased"/>
    <s v="Own funding"/>
    <m/>
    <s v="N.V Mtshali"/>
    <m/>
    <m/>
    <m/>
    <m/>
    <m/>
  </r>
  <r>
    <n v="1532"/>
    <s v="Open Plan core business"/>
    <s v="PPE"/>
    <x v="0"/>
    <s v="MOV"/>
    <x v="0"/>
    <s v="OTH"/>
    <x v="2"/>
    <s v="OTH"/>
    <s v="Other Assets"/>
    <s v="Main offices"/>
    <s v="Main offices"/>
    <s v="OTH"/>
    <s v="DELL LAPTOP/Matime"/>
    <s v="OTH"/>
    <m/>
    <s v="DELL LAPTOP/Matime"/>
    <s v="Cost Model"/>
    <s v="Owned"/>
    <s v="Core"/>
    <x v="0"/>
    <s v="Finance and Administration : Asset Management"/>
    <s v="FX005002001000000000000000000000000"/>
    <s v="IA002015001018001001000000000000000000"/>
    <n v="1"/>
    <s v="12/01/2022"/>
    <d v="2022-01-12T00:00:00"/>
    <s v="NO"/>
    <s v="Yes"/>
    <d v="2022-03-31T00:00:00"/>
    <s v="NA - Actual Cost"/>
    <n v="3"/>
    <n v="0"/>
    <n v="0"/>
    <s v="No Change"/>
    <m/>
    <m/>
    <n v="1.536986301369863"/>
    <m/>
    <n v="1.536986301369863"/>
    <n v="0.53698630136986303"/>
    <s v="4 - Poor (11-25%)"/>
    <m/>
    <s v="Actual Cost"/>
    <n v="30630.25"/>
    <m/>
    <n v="0"/>
    <n v="0"/>
    <n v="0"/>
    <n v="30630.25"/>
    <n v="7489.3800376549443"/>
    <n v="0"/>
    <m/>
    <m/>
    <n v="-23140.869962345056"/>
    <m/>
    <s v="NO"/>
    <m/>
    <m/>
    <n v="-4872.7695432157834"/>
    <n v="-406.0641286013153"/>
    <m/>
    <s v="Straight line"/>
    <n v="0"/>
    <n v="-28013.639505560837"/>
    <m/>
    <m/>
    <m/>
    <m/>
    <n v="0"/>
    <n v="2616.6104944391627"/>
    <m/>
    <m/>
    <m/>
    <s v="Purchased"/>
    <s v="Own funding"/>
    <m/>
    <s v="M. PHUKUBJE"/>
    <m/>
    <m/>
    <m/>
    <m/>
    <m/>
  </r>
  <r>
    <n v="1524"/>
    <s v="Open Plan HR"/>
    <s v="PPE"/>
    <x v="0"/>
    <s v="MOV"/>
    <x v="0"/>
    <s v="OTH"/>
    <x v="2"/>
    <s v="OTH"/>
    <s v="Other Assets"/>
    <s v="Main offices"/>
    <s v="Main offices"/>
    <s v="OTH"/>
    <s v="LENOVO LAPTOP/Andrew"/>
    <s v="OTH"/>
    <m/>
    <s v="LENOVO LAPTOP/Andrew"/>
    <s v="Cost Model"/>
    <s v="Owned"/>
    <s v="Core"/>
    <x v="0"/>
    <s v="Finance and Administration : Asset Management"/>
    <s v="FX005002001000000000000000000000000"/>
    <s v="IA002015001018001001000000000000000000"/>
    <n v="1"/>
    <s v="04/03/2022"/>
    <d v="2022-03-04T00:00:00"/>
    <s v="NO"/>
    <s v="Yes"/>
    <d v="2022-03-31T00:00:00"/>
    <s v="NA - Actual Cost"/>
    <n v="3"/>
    <n v="0"/>
    <n v="0"/>
    <s v="No Change"/>
    <m/>
    <m/>
    <n v="1.6767123287671231"/>
    <m/>
    <n v="1.6767123287671231"/>
    <n v="0.67671232876712306"/>
    <s v="2 - Good  (46-70%)"/>
    <m/>
    <s v="Actual Cost"/>
    <n v="41302.379999999997"/>
    <m/>
    <n v="0"/>
    <n v="0"/>
    <n v="0"/>
    <n v="41302.379999999997"/>
    <n v="11507.685288763874"/>
    <n v="0"/>
    <m/>
    <m/>
    <n v="-29794.694711236123"/>
    <m/>
    <s v="NO"/>
    <m/>
    <m/>
    <n v="-6863.2436771222465"/>
    <n v="-571.93697309352058"/>
    <m/>
    <s v="Straight line"/>
    <n v="0"/>
    <n v="-36657.938388358372"/>
    <m/>
    <m/>
    <m/>
    <m/>
    <n v="0"/>
    <n v="4644.4416116416251"/>
    <m/>
    <m/>
    <m/>
    <s v="Purchased"/>
    <s v="Own funding"/>
    <m/>
    <s v="A. Noge"/>
    <m/>
    <m/>
    <m/>
    <m/>
    <m/>
  </r>
  <r>
    <n v="1523"/>
    <s v="R15 Executive office"/>
    <s v="PPE"/>
    <x v="0"/>
    <s v="MOV"/>
    <x v="0"/>
    <s v="OTH"/>
    <x v="2"/>
    <s v="OTH"/>
    <s v="Other Assets"/>
    <s v="Main offices"/>
    <s v="Main offices"/>
    <s v="OTH"/>
    <s v="LENOVO LAPTOP/Eudie - Corne"/>
    <s v="OTH"/>
    <m/>
    <s v="LENOVO LAPTOP/Eudie - Corne"/>
    <s v="Cost Model"/>
    <s v="Owned"/>
    <s v="Core"/>
    <x v="0"/>
    <s v="Finance and Administration : Asset Management"/>
    <s v="FX005002001000000000000000000000000"/>
    <s v="IA002015001018001001000000000000000000"/>
    <n v="1"/>
    <s v="04/03/2022"/>
    <d v="2022-03-04T00:00:00"/>
    <s v="NO"/>
    <s v="Yes"/>
    <d v="2022-03-31T00:00:00"/>
    <s v="NA - Actual Cost"/>
    <n v="3"/>
    <n v="0"/>
    <n v="0"/>
    <s v="No Change"/>
    <m/>
    <m/>
    <n v="1.6767123287671231"/>
    <m/>
    <n v="1.6767123287671231"/>
    <n v="0.67671232876712306"/>
    <s v="2 - Good  (46-70%)"/>
    <m/>
    <s v="Actual Cost"/>
    <n v="41302.379999999997"/>
    <m/>
    <n v="0"/>
    <n v="0"/>
    <n v="0"/>
    <n v="41302.379999999997"/>
    <n v="11507.685288763874"/>
    <n v="0"/>
    <m/>
    <m/>
    <n v="-29794.694711236123"/>
    <m/>
    <s v="NO"/>
    <m/>
    <m/>
    <n v="-6863.2436771222465"/>
    <n v="-571.93697309352058"/>
    <m/>
    <s v="Straight line"/>
    <n v="0"/>
    <n v="-36657.938388358372"/>
    <m/>
    <m/>
    <m/>
    <m/>
    <n v="0"/>
    <n v="4644.4416116416251"/>
    <m/>
    <m/>
    <m/>
    <s v="Purchased"/>
    <s v="Own funding"/>
    <m/>
    <s v="C. VAN Husyssteen"/>
    <m/>
    <m/>
    <m/>
    <m/>
    <m/>
  </r>
  <r>
    <n v="1536"/>
    <s v="Open plan co-business "/>
    <s v="PPE"/>
    <x v="0"/>
    <s v="MOV"/>
    <x v="0"/>
    <s v="OTH"/>
    <x v="2"/>
    <s v="OTH"/>
    <s v="Other Assets"/>
    <s v="Main offices"/>
    <s v="Main offices"/>
    <s v="OTH"/>
    <s v="LENOVO LAPTOP/Nangamso"/>
    <s v="OTH"/>
    <m/>
    <s v="LENOVO LAPTOP/Nangamso"/>
    <s v="Cost Model"/>
    <s v="Owned"/>
    <s v="Core"/>
    <x v="0"/>
    <s v="Finance and Administration : Asset Management"/>
    <s v="FX005002001000000000000000000000000"/>
    <s v="IA002015001018001001000000000000000000"/>
    <n v="1"/>
    <s v="04/03/2022"/>
    <d v="2022-03-04T00:00:00"/>
    <s v="NO"/>
    <s v="Yes"/>
    <d v="2022-03-31T00:00:00"/>
    <s v="NA - Actual Cost"/>
    <n v="3"/>
    <n v="0"/>
    <n v="0"/>
    <s v="No Change"/>
    <m/>
    <m/>
    <n v="1.6767123287671231"/>
    <m/>
    <n v="1.6767123287671231"/>
    <n v="0.67671232876712306"/>
    <s v="2 - Good  (46-70%)"/>
    <m/>
    <s v="Actual Cost"/>
    <n v="41302.379999999997"/>
    <m/>
    <n v="0"/>
    <n v="0"/>
    <n v="0"/>
    <n v="41302.379999999997"/>
    <n v="11507.685288763874"/>
    <n v="0"/>
    <m/>
    <m/>
    <n v="-29794.694711236123"/>
    <m/>
    <s v="NO"/>
    <m/>
    <m/>
    <n v="-6863.2436771222465"/>
    <n v="-571.93697309352058"/>
    <m/>
    <s v="Straight line"/>
    <n v="0"/>
    <n v="-36657.938388358372"/>
    <m/>
    <m/>
    <m/>
    <m/>
    <n v="0"/>
    <n v="4644.4416116416251"/>
    <m/>
    <m/>
    <m/>
    <s v="Purchased"/>
    <s v="Own funding"/>
    <m/>
    <s v="A.Mlaudzi"/>
    <m/>
    <m/>
    <m/>
    <m/>
    <m/>
  </r>
  <r>
    <n v="1522"/>
    <s v="R25"/>
    <s v="PPE"/>
    <x v="0"/>
    <s v="MOV"/>
    <x v="0"/>
    <s v="OTH"/>
    <x v="2"/>
    <s v="OTH"/>
    <s v="Other Assets"/>
    <s v="Main offices"/>
    <s v="Main offices"/>
    <s v="OTH"/>
    <s v="LENOVO LAPTOP/Mphafe"/>
    <s v="OTH"/>
    <m/>
    <s v="LENOVO LAPTOP/Mphafe"/>
    <s v="Cost Model"/>
    <s v="Owned"/>
    <s v="Core"/>
    <x v="0"/>
    <s v="Finance and Administration : Asset Management"/>
    <s v="FX005002001000000000000000000000000"/>
    <s v="IA002015001018001001000000000000000000"/>
    <n v="1"/>
    <s v="04/03/2022"/>
    <d v="2022-03-04T00:00:00"/>
    <s v="NO"/>
    <s v="Yes"/>
    <d v="2022-03-31T00:00:00"/>
    <s v="NA - Actual Cost"/>
    <n v="3"/>
    <n v="0"/>
    <n v="0"/>
    <s v="No Change"/>
    <m/>
    <m/>
    <n v="1.6767123287671231"/>
    <m/>
    <n v="1.6767123287671231"/>
    <n v="0.67671232876712306"/>
    <s v="3 - Fair (26-45%)"/>
    <m/>
    <s v="Actual Cost"/>
    <n v="41302.379999999997"/>
    <m/>
    <n v="0"/>
    <n v="0"/>
    <n v="0"/>
    <n v="41302.379999999997"/>
    <n v="11507.685288763874"/>
    <n v="0"/>
    <m/>
    <m/>
    <n v="-29794.694711236123"/>
    <m/>
    <s v="NO"/>
    <m/>
    <m/>
    <n v="-6863.2436771222465"/>
    <n v="-571.93697309352058"/>
    <m/>
    <s v="Straight line"/>
    <n v="0"/>
    <n v="-36657.938388358372"/>
    <m/>
    <m/>
    <m/>
    <m/>
    <n v="0"/>
    <n v="4644.4416116416251"/>
    <m/>
    <m/>
    <m/>
    <s v="Purchased"/>
    <s v="Own funding"/>
    <m/>
    <s v="L. Mphafe"/>
    <m/>
    <m/>
    <m/>
    <m/>
    <m/>
  </r>
  <r>
    <n v="1553"/>
    <s v="Open plan Risk"/>
    <s v="PPE"/>
    <x v="0"/>
    <s v="MOV"/>
    <x v="0"/>
    <s v="OTH"/>
    <x v="2"/>
    <s v="OTH"/>
    <s v="Other Assets"/>
    <s v="Main offices"/>
    <s v="Main offices"/>
    <s v="OTH"/>
    <s v="LENOVO LAPTOP/Zama"/>
    <s v="OTH"/>
    <m/>
    <s v="LENOVO LAPTOP/Zama"/>
    <s v="Cost Model"/>
    <s v="Owned"/>
    <s v="Core"/>
    <x v="0"/>
    <s v="Finance and Administration : Asset Management"/>
    <s v="FX005002001000000000000000000000000"/>
    <s v="IA002015001018001001000000000000000000"/>
    <n v="1"/>
    <s v="04/03/2022"/>
    <d v="2022-03-04T00:00:00"/>
    <s v="NO"/>
    <s v="Yes"/>
    <d v="2022-03-31T00:00:00"/>
    <s v="NA - Actual Cost"/>
    <n v="3"/>
    <n v="0"/>
    <n v="0"/>
    <s v="No Change"/>
    <m/>
    <m/>
    <n v="1.6767123287671231"/>
    <m/>
    <n v="1.6767123287671231"/>
    <n v="0.67671232876712306"/>
    <s v="2 - Good  (46-70%)"/>
    <m/>
    <s v="Actual Cost"/>
    <n v="41302.379999999997"/>
    <m/>
    <n v="0"/>
    <n v="0"/>
    <n v="0"/>
    <n v="41302.379999999997"/>
    <n v="11507.685288763874"/>
    <n v="0"/>
    <m/>
    <m/>
    <n v="-29794.694711236123"/>
    <m/>
    <s v="NO"/>
    <m/>
    <m/>
    <n v="-6863.2436771222465"/>
    <n v="-571.93697309352058"/>
    <m/>
    <s v="Straight line"/>
    <n v="0"/>
    <n v="-36657.938388358372"/>
    <m/>
    <m/>
    <m/>
    <m/>
    <n v="0"/>
    <n v="4644.4416116416251"/>
    <m/>
    <m/>
    <m/>
    <s v="Purchased"/>
    <s v="Own funding"/>
    <m/>
    <s v="Z.Sithole"/>
    <m/>
    <m/>
    <m/>
    <m/>
    <m/>
  </r>
  <r>
    <n v="1529"/>
    <s v="R3 Open plan finance "/>
    <s v="PPE"/>
    <x v="0"/>
    <s v="MOV"/>
    <x v="0"/>
    <s v="OTH"/>
    <x v="2"/>
    <s v="OTH"/>
    <s v="Other Assets"/>
    <s v="Main offices"/>
    <s v="Main offices"/>
    <s v="OTH"/>
    <s v="DELL LAPTOP/Zandalee"/>
    <s v="OTH"/>
    <m/>
    <s v="DELL LAPTOP/Zandalee"/>
    <s v="Cost Model"/>
    <s v="Owned"/>
    <s v="Core"/>
    <x v="0"/>
    <s v="Finance and Administration : Asset Management"/>
    <s v="FX005002001000000000000000000000000"/>
    <s v="IA002015001018001001000000000000000000"/>
    <n v="1"/>
    <s v="12/01/2022"/>
    <d v="2022-01-12T00:00:00"/>
    <s v="NO"/>
    <s v="Yes"/>
    <d v="2022-03-31T00:00:00"/>
    <s v="NA - Actual Cost"/>
    <n v="3"/>
    <n v="0"/>
    <n v="0"/>
    <s v="No Change"/>
    <m/>
    <m/>
    <n v="1.536986301369863"/>
    <m/>
    <n v="1.536986301369863"/>
    <n v="0.53698630136986303"/>
    <s v="4 - Poor (11-25%)"/>
    <m/>
    <s v="Actual Cost"/>
    <n v="30630.25"/>
    <m/>
    <n v="0"/>
    <n v="0"/>
    <n v="0"/>
    <n v="30630.25"/>
    <n v="7489.3800376549443"/>
    <n v="0"/>
    <m/>
    <m/>
    <n v="-23140.869962345056"/>
    <m/>
    <s v="NO"/>
    <m/>
    <m/>
    <n v="-4872.7695432157834"/>
    <n v="-406.0641286013153"/>
    <m/>
    <s v="Straight line"/>
    <n v="0"/>
    <n v="-28013.639505560837"/>
    <m/>
    <m/>
    <m/>
    <m/>
    <n v="0"/>
    <n v="2616.6104944391627"/>
    <m/>
    <m/>
    <m/>
    <s v="Purchased"/>
    <s v="Own funding"/>
    <m/>
    <s v="N.Ngabeni"/>
    <m/>
    <m/>
    <m/>
    <m/>
    <m/>
  </r>
  <r>
    <s v="HK 93 WX GP"/>
    <s v="Basement parking 2"/>
    <s v="PPE"/>
    <x v="0"/>
    <s v="MOV"/>
    <x v="0"/>
    <s v="OTH"/>
    <x v="3"/>
    <s v="OTH"/>
    <s v="Other Assets"/>
    <s v="Main offices"/>
    <s v="Main offices"/>
    <s v="OTH"/>
    <s v="Toyota Corolla Light Blue"/>
    <s v="OTH"/>
    <m/>
    <s v="Toyota Corolla Light Blue"/>
    <s v="Cost Model"/>
    <s v="Owned"/>
    <s v="Core"/>
    <x v="0"/>
    <s v="Finance and Administration : Asset Management"/>
    <s v="FX005002001000000000000000000000000"/>
    <s v="IA002015001018001001000000000000000000"/>
    <n v="1"/>
    <s v="15/05/2018"/>
    <d v="2018-05-15T00:00:00"/>
    <s v="NO"/>
    <s v="Yes"/>
    <d v="2022-03-31T00:00:00"/>
    <s v="NA - Actual Cost"/>
    <n v="5"/>
    <n v="0"/>
    <n v="0"/>
    <s v="No Change"/>
    <m/>
    <m/>
    <n v="1.8712328767123285"/>
    <m/>
    <n v="1.8712328767123285"/>
    <n v="0.87123287671232852"/>
    <s v="2 - Good  (46-70%)"/>
    <m/>
    <s v="Actual Cost"/>
    <n v="456050.95338458859"/>
    <m/>
    <n v="0"/>
    <n v="0"/>
    <n v="0"/>
    <n v="456050.95338458859"/>
    <n v="130000"/>
    <n v="0"/>
    <m/>
    <n v="0"/>
    <n v="-326050.95338458859"/>
    <m/>
    <s v="NO"/>
    <m/>
    <m/>
    <n v="-69472.913616398248"/>
    <n v="-5789.4094680331873"/>
    <m/>
    <s v="Straight line"/>
    <n v="0"/>
    <n v="-395523.86700098682"/>
    <m/>
    <m/>
    <m/>
    <m/>
    <n v="0"/>
    <n v="60527.086383601767"/>
    <m/>
    <m/>
    <m/>
    <s v="Purchased"/>
    <s v="Own funding"/>
    <m/>
    <s v="S. Skenjana"/>
    <m/>
    <m/>
    <m/>
    <m/>
    <m/>
  </r>
  <r>
    <s v="000074"/>
    <s v="R13 CEO Office"/>
    <s v="PPE"/>
    <x v="0"/>
    <s v="MOV"/>
    <x v="0"/>
    <s v="OTH"/>
    <x v="0"/>
    <s v="OTH"/>
    <s v="Other Assets"/>
    <s v="Main offices"/>
    <s v="Main offices"/>
    <s v="OTH"/>
    <s v="3 Drawer Pedestal"/>
    <s v="OTH"/>
    <m/>
    <s v="3 Drawer Pedestal"/>
    <s v="Cost Model"/>
    <s v="Owned"/>
    <s v="Core"/>
    <x v="0"/>
    <s v="Finance and Administration : Asset Management"/>
    <s v="FX005002001000000000000000000000000"/>
    <s v="IA002015001018001001000000000000000000"/>
    <n v="1"/>
    <s v="01/04/2004"/>
    <d v="2004-04-0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360.94"/>
    <m/>
    <m/>
    <m/>
    <m/>
    <n v="2360.94"/>
    <n v="131.16333333333341"/>
    <n v="0"/>
    <m/>
    <m/>
    <n v="-2229.7766666666666"/>
    <m/>
    <s v="NO"/>
    <m/>
    <m/>
    <n v="-131.16333333333341"/>
    <n v="-10.930277777777784"/>
    <m/>
    <s v="Straight line"/>
    <n v="0"/>
    <n v="-2360.94"/>
    <m/>
    <m/>
    <m/>
    <m/>
    <n v="0"/>
    <n v="0"/>
    <n v="-2229.7766666666666"/>
    <m/>
    <m/>
    <m/>
    <m/>
    <m/>
    <s v="T. MANETSI"/>
    <m/>
    <m/>
    <m/>
    <m/>
    <n v="0"/>
  </r>
  <r>
    <s v="000079"/>
    <s v="Open Plan core business"/>
    <s v="PPE"/>
    <x v="0"/>
    <s v="MOV"/>
    <x v="0"/>
    <s v="OTH"/>
    <x v="0"/>
    <s v="OTH"/>
    <s v="Other Assets"/>
    <s v="Main offices"/>
    <s v="Main offices"/>
    <s v="OTH"/>
    <s v="Midback Leather Chair armrest steelframe- maroon"/>
    <s v="OTH"/>
    <m/>
    <s v="Midback Leather Chair armrest steelframe- maroon"/>
    <s v="Cost Model"/>
    <s v="Owned"/>
    <s v="Core"/>
    <x v="0"/>
    <s v="Finance and Administration : Asset Management"/>
    <s v="FX005002001000000000000000000000000"/>
    <s v="IA002015001018001001000000000000000000"/>
    <n v="1"/>
    <s v="13/09/2005"/>
    <d v="2005-09-13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1482"/>
    <m/>
    <m/>
    <m/>
    <m/>
    <n v="1482"/>
    <n v="82.333333333333485"/>
    <n v="0"/>
    <m/>
    <m/>
    <n v="-1399.6666666666665"/>
    <m/>
    <s v="NO"/>
    <m/>
    <m/>
    <n v="-82.333333333333485"/>
    <n v="-6.861111111111124"/>
    <m/>
    <s v="Straight line"/>
    <n v="0"/>
    <n v="-1482"/>
    <m/>
    <m/>
    <m/>
    <m/>
    <n v="0"/>
    <n v="0"/>
    <n v="-1399.6666666666665"/>
    <m/>
    <m/>
    <m/>
    <m/>
    <m/>
    <s v="S.Skenjana"/>
    <m/>
    <m/>
    <m/>
    <m/>
    <n v="0"/>
  </r>
  <r>
    <s v="000155"/>
    <s v="R13 ceo office "/>
    <s v="PPE"/>
    <x v="0"/>
    <s v="MOV"/>
    <x v="0"/>
    <s v="OTH"/>
    <x v="0"/>
    <s v="OTH"/>
    <s v="Other Assets"/>
    <s v="Main offices"/>
    <s v="Main offices"/>
    <s v="OTH"/>
    <s v="Rhodes Chair leather Armrest brown "/>
    <s v="OTH"/>
    <m/>
    <s v="Rhodes Chair leather Armrest brown 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m/>
    <m/>
    <m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n v="-1938"/>
    <m/>
    <m/>
    <m/>
    <m/>
    <m/>
    <s v="C. GALLOWAY"/>
    <m/>
    <m/>
    <m/>
    <m/>
    <n v="0"/>
  </r>
  <r>
    <s v="000156"/>
    <s v="R11 executive boardroom"/>
    <s v="PPE"/>
    <x v="0"/>
    <s v="MOV"/>
    <x v="0"/>
    <s v="OTH"/>
    <x v="0"/>
    <s v="OTH"/>
    <s v="Other Assets"/>
    <s v="Main offices"/>
    <s v="Main offices"/>
    <s v="OTH"/>
    <s v="Rhodes Chair leather Armrest brown "/>
    <s v="OTH"/>
    <m/>
    <s v="Rhodes Chair leather Armrest brown 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m/>
    <m/>
    <m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n v="-1938"/>
    <m/>
    <m/>
    <m/>
    <m/>
    <m/>
    <s v="S. Skenjana"/>
    <m/>
    <m/>
    <m/>
    <m/>
    <n v="0"/>
  </r>
  <r>
    <s v="000157"/>
    <s v="R13 CEO Offce"/>
    <s v="PPE"/>
    <x v="0"/>
    <s v="MOV"/>
    <x v="0"/>
    <s v="OTH"/>
    <x v="0"/>
    <s v="OTH"/>
    <s v="Other Assets"/>
    <s v="Main offices"/>
    <s v="Main offices"/>
    <s v="OTH"/>
    <s v="Rhodes Chair leather Armrest brown "/>
    <s v="OTH"/>
    <m/>
    <s v="Rhodes Chair leather Armrest brown 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m/>
    <m/>
    <m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n v="-1938"/>
    <m/>
    <m/>
    <m/>
    <m/>
    <m/>
    <s v="T. Manetsi"/>
    <m/>
    <m/>
    <m/>
    <m/>
    <n v="0"/>
  </r>
  <r>
    <s v="000562"/>
    <s v="R16 "/>
    <s v="PPE"/>
    <x v="0"/>
    <s v="MOV"/>
    <x v="0"/>
    <s v="OTH"/>
    <x v="0"/>
    <s v="OTH"/>
    <s v="Other Assets"/>
    <s v="Main offices"/>
    <s v="Main offices"/>
    <s v="OTH"/>
    <s v="Tea Trolley"/>
    <s v="OTH"/>
    <m/>
    <s v="Tea Trolley"/>
    <s v="Cost Model"/>
    <s v="Owned"/>
    <s v="Core"/>
    <x v="0"/>
    <s v="Finance and Administration : Asset Management"/>
    <s v="FX005002001000000000000000000000000"/>
    <s v="IA002015001018001001000000000000000000"/>
    <n v="1"/>
    <s v="01/05/2009"/>
    <d v="2009-05-01T00:00:00"/>
    <s v="NO"/>
    <s v="Yes"/>
    <d v="2022-03-31T00:00:00"/>
    <s v="NA - Actual Cost"/>
    <n v="6"/>
    <n v="0"/>
    <n v="0"/>
    <s v="No Change"/>
    <m/>
    <m/>
    <n v="1"/>
    <m/>
    <n v="1"/>
    <n v="0"/>
    <s v="3 - Fair (26-45%)"/>
    <m/>
    <s v="Actual Cost"/>
    <n v="691"/>
    <m/>
    <m/>
    <m/>
    <m/>
    <n v="691"/>
    <n v="38.388888888888914"/>
    <n v="0"/>
    <m/>
    <m/>
    <n v="-652.61111111111109"/>
    <m/>
    <s v="NO"/>
    <m/>
    <m/>
    <n v="-38.388888888888914"/>
    <n v="-3.1990740740740762"/>
    <m/>
    <s v="Straight line"/>
    <n v="0"/>
    <n v="-691"/>
    <m/>
    <m/>
    <m/>
    <m/>
    <n v="0"/>
    <n v="0"/>
    <n v="-652.61111111111109"/>
    <m/>
    <m/>
    <m/>
    <m/>
    <m/>
    <s v="S. SKENJANA"/>
    <m/>
    <m/>
    <m/>
    <m/>
    <n v="0"/>
  </r>
  <r>
    <s v="000671"/>
    <s v="R6 executive offices "/>
    <s v="PPE"/>
    <x v="0"/>
    <s v="MOV"/>
    <x v="0"/>
    <s v="OTH"/>
    <x v="0"/>
    <s v="OTH"/>
    <s v="Other Assets"/>
    <s v="Main offices"/>
    <s v="Main offices"/>
    <s v="OTH"/>
    <s v="High Back leather chair black Armrest wheel"/>
    <s v="OTH"/>
    <m/>
    <s v="High Back leather chair black Armrest wheel"/>
    <s v="Cost Model"/>
    <s v="Owned"/>
    <s v="Core"/>
    <x v="0"/>
    <s v="Finance and Administration : Asset Management"/>
    <s v="FX005002001000000000000000000000000"/>
    <s v="IA002015001018001001000000000000000000"/>
    <n v="1"/>
    <s v="17/02/2012"/>
    <d v="2013-10-0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4250"/>
    <m/>
    <m/>
    <m/>
    <m/>
    <n v="4250"/>
    <n v="236.11111111111131"/>
    <n v="0"/>
    <m/>
    <m/>
    <n v="-4013.8888888888887"/>
    <m/>
    <s v="NO"/>
    <m/>
    <m/>
    <n v="-236.11111111111131"/>
    <n v="-19.675925925925942"/>
    <m/>
    <s v="Straight line"/>
    <n v="0"/>
    <n v="-4250"/>
    <m/>
    <m/>
    <m/>
    <m/>
    <n v="0"/>
    <n v="0"/>
    <n v="-4013.8888888888887"/>
    <m/>
    <m/>
    <m/>
    <m/>
    <m/>
    <s v="T. Maake"/>
    <m/>
    <m/>
    <m/>
    <m/>
    <n v="0"/>
  </r>
  <r>
    <n v="1192"/>
    <s v="R10 executive offices "/>
    <s v="PPE"/>
    <x v="0"/>
    <s v="MOV"/>
    <x v="0"/>
    <s v="OTH"/>
    <x v="0"/>
    <s v="OTH"/>
    <s v="Other Assets"/>
    <s v="Main offices"/>
    <s v="Main offices"/>
    <s v="OTH"/>
    <s v="Rhodes Chair leather Armrest brown "/>
    <s v="OTH"/>
    <m/>
    <s v="Rhodes Chair leather Armrest brown 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m/>
    <m/>
    <m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n v="-1938"/>
    <m/>
    <m/>
    <m/>
    <m/>
    <m/>
    <s v="M. Chamane"/>
    <m/>
    <m/>
    <m/>
    <m/>
    <n v="0"/>
  </r>
  <r>
    <n v="688"/>
    <s v="Open Plan Risk"/>
    <s v="PPE"/>
    <x v="0"/>
    <s v="MOV"/>
    <x v="0"/>
    <s v="OTH"/>
    <x v="0"/>
    <s v="OTH"/>
    <s v="Other Assets"/>
    <s v="Main offices"/>
    <s v="Main offices"/>
    <s v="OTH"/>
    <s v="CHAIR VISITOR"/>
    <s v="OTH"/>
    <m/>
    <s v="CHAIR VISITOR"/>
    <s v="Cost Model"/>
    <s v="Owned"/>
    <s v="Core"/>
    <x v="0"/>
    <s v="Finance and Administration : Asset Management"/>
    <s v="FX005002001000000000000000000000000"/>
    <s v="IA002015001018001001000000000000000000"/>
    <n v="1"/>
    <d v="2005-04-01T00:00:00"/>
    <d v="2005-04-01T00:00:00"/>
    <s v="NO"/>
    <s v="Yes"/>
    <d v="2022-03-31T00:00:00"/>
    <s v="NA - Actual Cost"/>
    <n v="6"/>
    <n v="0"/>
    <n v="0"/>
    <s v="No Change"/>
    <m/>
    <m/>
    <n v="1"/>
    <m/>
    <n v="1"/>
    <n v="0"/>
    <s v="4 - Poor (11-25%)"/>
    <m/>
    <s v="Actual Cost"/>
    <n v="850"/>
    <m/>
    <m/>
    <m/>
    <m/>
    <n v="850"/>
    <n v="47.222222222222172"/>
    <n v="0"/>
    <m/>
    <m/>
    <n v="-802.77777777777783"/>
    <m/>
    <s v="NO"/>
    <m/>
    <m/>
    <n v="-47.222222222222172"/>
    <n v="-3.9351851851851811"/>
    <m/>
    <s v="Straight line"/>
    <n v="0"/>
    <n v="-850"/>
    <m/>
    <m/>
    <m/>
    <m/>
    <n v="0"/>
    <n v="0"/>
    <n v="-802.77777777777783"/>
    <m/>
    <m/>
    <m/>
    <m/>
    <m/>
    <s v="A. Mbuli"/>
    <m/>
    <m/>
    <m/>
    <m/>
    <n v="0"/>
  </r>
  <r>
    <s v="NHC 000153"/>
    <s v="R13 CEO Offce"/>
    <s v="PPE"/>
    <x v="0"/>
    <s v="MOV"/>
    <x v="0"/>
    <s v="OTH"/>
    <x v="0"/>
    <s v="OTH"/>
    <s v="Other Assets"/>
    <s v="Main offices"/>
    <s v="Main offices"/>
    <s v="OTH"/>
    <s v="Rhodes Chair Leather"/>
    <s v="OTH"/>
    <m/>
    <s v="Rhodes Chair Leather"/>
    <s v="Cost Model"/>
    <s v="Owned"/>
    <s v="Core"/>
    <x v="0"/>
    <s v="Finance and Administration : Asset Management"/>
    <s v="FX005002001000000000000000000000000"/>
    <s v="IA002015001018001001000000000000000000"/>
    <n v="1"/>
    <s v="16/09/2005"/>
    <d v="2005-09-16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2052"/>
    <m/>
    <m/>
    <m/>
    <m/>
    <n v="2052"/>
    <n v="114"/>
    <n v="0"/>
    <m/>
    <m/>
    <n v="-1938"/>
    <m/>
    <s v="NO"/>
    <m/>
    <m/>
    <n v="-114"/>
    <n v="-9.5"/>
    <m/>
    <s v="Straight line"/>
    <n v="0"/>
    <n v="-2052"/>
    <m/>
    <m/>
    <m/>
    <m/>
    <n v="0"/>
    <n v="0"/>
    <n v="-1938"/>
    <m/>
    <m/>
    <m/>
    <m/>
    <m/>
    <s v="T. Manetsi"/>
    <m/>
    <m/>
    <m/>
    <m/>
    <n v="0"/>
  </r>
  <r>
    <s v="NHC000083"/>
    <s v="Open plan co- business "/>
    <s v="PPE"/>
    <x v="0"/>
    <s v="MOV"/>
    <x v="0"/>
    <s v="OTH"/>
    <x v="0"/>
    <s v="OTH"/>
    <s v="Other Assets"/>
    <s v="Main offices"/>
    <s v="Main offices"/>
    <s v="OTH"/>
    <s v="1500*750mm Reception desk with modesty panel"/>
    <s v="OTH"/>
    <m/>
    <s v="1500*750mm Reception desk with modesty panel"/>
    <s v="Cost Model"/>
    <s v="Owned"/>
    <s v="Core"/>
    <x v="0"/>
    <s v="Finance and Administration : Asset Management"/>
    <s v="FX005002001000000000000000000000000"/>
    <s v="IA002015001018001001000000000000000000"/>
    <n v="1"/>
    <d v="2004-04-01T00:00:00"/>
    <d v="2004-04-0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6460.38"/>
    <m/>
    <m/>
    <m/>
    <m/>
    <n v="6460.38"/>
    <n v="358.91000000000076"/>
    <n v="0"/>
    <m/>
    <m/>
    <n v="-6101.4699999999993"/>
    <m/>
    <s v="NO"/>
    <m/>
    <m/>
    <n v="-358.91000000000076"/>
    <n v="-29.909166666666732"/>
    <m/>
    <s v="Straight line"/>
    <n v="0"/>
    <n v="-6460.38"/>
    <m/>
    <m/>
    <m/>
    <m/>
    <n v="0"/>
    <n v="0"/>
    <n v="-6101.4699999999993"/>
    <m/>
    <m/>
    <m/>
    <m/>
    <m/>
    <s v="T. Maso"/>
    <m/>
    <m/>
    <m/>
    <m/>
    <n v="0"/>
  </r>
  <r>
    <s v="NHC000326"/>
    <s v="R13 CEO Offce"/>
    <s v="PPE"/>
    <x v="0"/>
    <s v="MOV"/>
    <x v="0"/>
    <s v="OTH"/>
    <x v="0"/>
    <s v="OTH"/>
    <s v="Other Assets"/>
    <s v="Main offices"/>
    <s v="Main offices"/>
    <s v="OTH"/>
    <s v="Round Table"/>
    <s v="OTH"/>
    <m/>
    <s v="Round Table"/>
    <s v="Cost Model"/>
    <s v="Owned"/>
    <s v="Core"/>
    <x v="0"/>
    <s v="Finance and Administration : Asset Management"/>
    <s v="FX005002001000000000000000000000000"/>
    <s v="IA002015001018001001000000000000000000"/>
    <n v="1"/>
    <d v="2004-04-01T00:00:00"/>
    <d v="2004-04-01T00:00:00"/>
    <s v="NO"/>
    <s v="Yes"/>
    <d v="2022-03-31T00:00:00"/>
    <s v="NA - Actual Cost"/>
    <n v="6"/>
    <n v="0"/>
    <n v="0"/>
    <s v="No Change"/>
    <m/>
    <m/>
    <n v="1"/>
    <m/>
    <n v="1"/>
    <n v="0"/>
    <s v="2 - Good  (46-70%)"/>
    <m/>
    <s v="Actual Cost"/>
    <n v="3780.24"/>
    <m/>
    <m/>
    <m/>
    <m/>
    <n v="3780.24"/>
    <n v="210.01333333333332"/>
    <n v="0"/>
    <m/>
    <m/>
    <n v="-3570.2266666666665"/>
    <m/>
    <s v="NO"/>
    <m/>
    <m/>
    <n v="-210.01333333333332"/>
    <n v="-17.501111111111111"/>
    <m/>
    <s v="Straight line"/>
    <n v="0"/>
    <n v="-3780.24"/>
    <m/>
    <m/>
    <m/>
    <m/>
    <n v="0"/>
    <n v="0"/>
    <n v="-3570.2266666666665"/>
    <m/>
    <m/>
    <m/>
    <m/>
    <m/>
    <s v="T. Manetsi"/>
    <m/>
    <m/>
    <m/>
    <m/>
    <n v="0"/>
  </r>
  <r>
    <n v="1603"/>
    <s v="Open plan Co- Business 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96.2"/>
    <m/>
    <m/>
    <m/>
    <m/>
    <n v="3296.2"/>
    <n v="1970.194429223744"/>
    <n v="0"/>
    <m/>
    <m/>
    <n v="-1326.0055707762558"/>
    <m/>
    <s v="NO"/>
    <m/>
    <m/>
    <n v="-549.36666666666656"/>
    <n v="-45.780555555555544"/>
    <m/>
    <s v="Straight line"/>
    <n v="0"/>
    <n v="-1875.3722374429224"/>
    <m/>
    <m/>
    <m/>
    <m/>
    <n v="0"/>
    <n v="1420.8277625570774"/>
    <n v="-1326.0055707762558"/>
    <m/>
    <m/>
    <m/>
    <m/>
    <m/>
    <s v="G. Mathye"/>
    <m/>
    <m/>
    <m/>
    <m/>
    <n v="0"/>
  </r>
  <r>
    <n v="1604"/>
    <s v="Open Plan core business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06.2"/>
    <m/>
    <m/>
    <m/>
    <m/>
    <n v="3206.2"/>
    <n v="1916.399908675799"/>
    <n v="0"/>
    <m/>
    <m/>
    <n v="-1289.8000913242008"/>
    <m/>
    <s v="NO"/>
    <m/>
    <m/>
    <n v="-534.36666666666667"/>
    <n v="-44.530555555555559"/>
    <m/>
    <s v="Straight line"/>
    <n v="0"/>
    <n v="-1824.1667579908676"/>
    <m/>
    <m/>
    <m/>
    <m/>
    <n v="0"/>
    <n v="1382.0332420091322"/>
    <n v="-1289.8000913242008"/>
    <m/>
    <m/>
    <m/>
    <m/>
    <m/>
    <s v="M. PHUKUBJE"/>
    <m/>
    <m/>
    <m/>
    <m/>
    <n v="0"/>
  </r>
  <r>
    <n v="1605"/>
    <s v="Open Plan Co business 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06.2"/>
    <m/>
    <m/>
    <m/>
    <m/>
    <n v="3206.2"/>
    <n v="1916.399908675799"/>
    <n v="0"/>
    <m/>
    <m/>
    <n v="-1289.8000913242008"/>
    <m/>
    <s v="NO"/>
    <m/>
    <m/>
    <n v="-534.36666666666667"/>
    <n v="-44.530555555555559"/>
    <m/>
    <s v="Straight line"/>
    <n v="0"/>
    <n v="-1824.1667579908676"/>
    <m/>
    <m/>
    <m/>
    <m/>
    <n v="0"/>
    <n v="1382.0332420091322"/>
    <n v="-1289.8000913242008"/>
    <m/>
    <m/>
    <m/>
    <m/>
    <m/>
    <s v="Z. Makhawula"/>
    <m/>
    <m/>
    <m/>
    <m/>
    <n v="0"/>
  </r>
  <r>
    <n v="1606"/>
    <s v="R1 Open plan finance 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06.2"/>
    <m/>
    <m/>
    <m/>
    <m/>
    <n v="3206.2"/>
    <n v="1916.399908675799"/>
    <n v="0"/>
    <m/>
    <m/>
    <n v="-1289.8000913242008"/>
    <m/>
    <s v="NO"/>
    <m/>
    <m/>
    <n v="-534.36666666666667"/>
    <n v="-44.530555555555559"/>
    <m/>
    <s v="Straight line"/>
    <n v="0"/>
    <n v="-1824.1667579908676"/>
    <m/>
    <m/>
    <m/>
    <m/>
    <n v="0"/>
    <n v="1382.0332420091322"/>
    <n v="-1289.8000913242008"/>
    <m/>
    <m/>
    <m/>
    <m/>
    <m/>
    <s v="S.Ndlovu"/>
    <m/>
    <m/>
    <m/>
    <m/>
    <n v="0"/>
  </r>
  <r>
    <n v="1607"/>
    <s v="Open Plan Co business 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06.2"/>
    <m/>
    <m/>
    <m/>
    <m/>
    <n v="3206.2"/>
    <n v="1916.399908675799"/>
    <n v="0"/>
    <m/>
    <m/>
    <n v="-1289.8000913242008"/>
    <m/>
    <s v="NO"/>
    <m/>
    <m/>
    <n v="-534.36666666666667"/>
    <n v="-44.530555555555559"/>
    <m/>
    <s v="Straight line"/>
    <n v="0"/>
    <n v="-1824.1667579908676"/>
    <m/>
    <m/>
    <m/>
    <m/>
    <n v="0"/>
    <n v="1382.0332420091322"/>
    <n v="-1289.8000913242008"/>
    <m/>
    <m/>
    <m/>
    <m/>
    <m/>
    <s v="PF. Ceza"/>
    <m/>
    <m/>
    <m/>
    <m/>
    <n v="0"/>
  </r>
  <r>
    <n v="1608"/>
    <s v="Open Plan finance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06.2"/>
    <m/>
    <m/>
    <m/>
    <m/>
    <n v="3206.2"/>
    <n v="1916.399908675799"/>
    <n v="0"/>
    <m/>
    <m/>
    <n v="-1289.8000913242008"/>
    <m/>
    <s v="NO"/>
    <m/>
    <m/>
    <n v="-534.36666666666667"/>
    <n v="-44.530555555555559"/>
    <m/>
    <s v="Straight line"/>
    <n v="0"/>
    <n v="-1824.1667579908676"/>
    <m/>
    <m/>
    <m/>
    <m/>
    <n v="0"/>
    <n v="1382.0332420091322"/>
    <n v="-1289.8000913242008"/>
    <m/>
    <m/>
    <m/>
    <m/>
    <m/>
    <s v="K. Mashilo"/>
    <m/>
    <m/>
    <m/>
    <m/>
    <n v="0"/>
  </r>
  <r>
    <n v="1609"/>
    <s v="Open Plan Co business 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06.2"/>
    <m/>
    <m/>
    <m/>
    <m/>
    <n v="3206.2"/>
    <n v="1916.399908675799"/>
    <n v="0"/>
    <m/>
    <m/>
    <n v="-1289.8000913242008"/>
    <m/>
    <s v="NO"/>
    <m/>
    <m/>
    <n v="-534.36666666666667"/>
    <n v="-44.530555555555559"/>
    <m/>
    <s v="Straight line"/>
    <n v="0"/>
    <n v="-1824.1667579908676"/>
    <m/>
    <m/>
    <m/>
    <m/>
    <n v="0"/>
    <n v="1382.0332420091322"/>
    <n v="-1289.8000913242008"/>
    <m/>
    <m/>
    <m/>
    <m/>
    <m/>
    <s v="Z. Makhawula"/>
    <m/>
    <m/>
    <m/>
    <m/>
    <n v="0"/>
  </r>
  <r>
    <n v="1610"/>
    <s v="Open plan Risk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06.2"/>
    <m/>
    <m/>
    <m/>
    <m/>
    <n v="3206.2"/>
    <n v="1916.399908675799"/>
    <n v="0"/>
    <m/>
    <m/>
    <n v="-1289.8000913242008"/>
    <m/>
    <s v="NO"/>
    <m/>
    <m/>
    <n v="-534.36666666666667"/>
    <n v="-44.530555555555559"/>
    <m/>
    <s v="Straight line"/>
    <n v="0"/>
    <n v="-1824.1667579908676"/>
    <m/>
    <m/>
    <m/>
    <m/>
    <n v="0"/>
    <n v="1382.0332420091322"/>
    <n v="-1289.8000913242008"/>
    <m/>
    <m/>
    <m/>
    <m/>
    <m/>
    <s v="G. Hlatshwayo"/>
    <m/>
    <m/>
    <m/>
    <m/>
    <n v="0"/>
  </r>
  <r>
    <n v="1611"/>
    <s v="Open Plan Co business 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06.2"/>
    <m/>
    <m/>
    <m/>
    <m/>
    <n v="3206.2"/>
    <n v="1916.399908675799"/>
    <n v="0"/>
    <m/>
    <m/>
    <n v="-1289.8000913242008"/>
    <m/>
    <s v="NO"/>
    <m/>
    <m/>
    <n v="-534.36666666666667"/>
    <n v="-44.530555555555559"/>
    <m/>
    <s v="Straight line"/>
    <n v="0"/>
    <n v="-1824.1667579908676"/>
    <m/>
    <m/>
    <m/>
    <m/>
    <n v="0"/>
    <n v="1382.0332420091322"/>
    <n v="-1289.8000913242008"/>
    <m/>
    <m/>
    <m/>
    <m/>
    <m/>
    <s v="SC. Thobejane"/>
    <m/>
    <m/>
    <m/>
    <m/>
    <n v="0"/>
  </r>
  <r>
    <n v="1612"/>
    <s v="R9 executive offices 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06.2"/>
    <m/>
    <m/>
    <m/>
    <m/>
    <n v="3206.2"/>
    <n v="1916.399908675799"/>
    <n v="0"/>
    <m/>
    <m/>
    <n v="-1289.8000913242008"/>
    <m/>
    <s v="NO"/>
    <m/>
    <m/>
    <n v="-534.36666666666667"/>
    <n v="-44.530555555555559"/>
    <m/>
    <s v="Straight line"/>
    <n v="0"/>
    <n v="-1824.1667579908676"/>
    <m/>
    <m/>
    <m/>
    <m/>
    <n v="0"/>
    <n v="1382.0332420091322"/>
    <n v="-1289.8000913242008"/>
    <m/>
    <m/>
    <m/>
    <m/>
    <m/>
    <s v="P. Kadi"/>
    <m/>
    <m/>
    <m/>
    <m/>
    <n v="0"/>
  </r>
  <r>
    <n v="1613"/>
    <s v="Open plan Risk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06.2"/>
    <m/>
    <m/>
    <m/>
    <m/>
    <n v="3206.2"/>
    <n v="1916.399908675799"/>
    <n v="0"/>
    <m/>
    <m/>
    <n v="-1289.8000913242008"/>
    <m/>
    <s v="NO"/>
    <m/>
    <m/>
    <n v="-534.36666666666667"/>
    <n v="-44.530555555555559"/>
    <m/>
    <s v="Straight line"/>
    <n v="0"/>
    <n v="-1824.1667579908676"/>
    <m/>
    <m/>
    <m/>
    <m/>
    <n v="0"/>
    <n v="1382.0332420091322"/>
    <n v="-1289.8000913242008"/>
    <m/>
    <m/>
    <m/>
    <m/>
    <m/>
    <s v="A.Mbuli"/>
    <m/>
    <m/>
    <m/>
    <m/>
    <n v="0"/>
  </r>
  <r>
    <n v="1614"/>
    <s v="Open Plan Co business 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06.2"/>
    <m/>
    <m/>
    <m/>
    <m/>
    <n v="3206.2"/>
    <n v="1916.399908675799"/>
    <n v="0"/>
    <m/>
    <m/>
    <n v="-1289.8000913242008"/>
    <m/>
    <s v="NO"/>
    <m/>
    <m/>
    <n v="-534.36666666666667"/>
    <n v="-44.530555555555559"/>
    <m/>
    <s v="Straight line"/>
    <n v="0"/>
    <n v="-1824.1667579908676"/>
    <m/>
    <m/>
    <m/>
    <m/>
    <n v="0"/>
    <n v="1382.0332420091322"/>
    <n v="-1289.8000913242008"/>
    <m/>
    <m/>
    <m/>
    <m/>
    <m/>
    <s v="T. Mphahlele"/>
    <m/>
    <m/>
    <m/>
    <m/>
    <n v="0"/>
  </r>
  <r>
    <n v="1615"/>
    <s v="Open Plan core business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06.2"/>
    <m/>
    <m/>
    <m/>
    <m/>
    <n v="3206.2"/>
    <n v="1916.399908675799"/>
    <n v="0"/>
    <m/>
    <m/>
    <n v="-1289.8000913242008"/>
    <m/>
    <s v="NO"/>
    <m/>
    <m/>
    <n v="-534.36666666666667"/>
    <n v="-44.530555555555559"/>
    <m/>
    <s v="Straight line"/>
    <n v="0"/>
    <n v="-1824.1667579908676"/>
    <m/>
    <m/>
    <m/>
    <m/>
    <n v="0"/>
    <n v="1382.0332420091322"/>
    <n v="-1289.8000913242008"/>
    <m/>
    <m/>
    <m/>
    <m/>
    <m/>
    <s v="K. Bodiba"/>
    <m/>
    <m/>
    <m/>
    <m/>
    <n v="0"/>
  </r>
  <r>
    <n v="1616"/>
    <s v="Open plan finance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06.2"/>
    <m/>
    <m/>
    <m/>
    <m/>
    <n v="3206.2"/>
    <n v="1916.399908675799"/>
    <n v="0"/>
    <m/>
    <m/>
    <n v="-1289.8000913242008"/>
    <m/>
    <s v="NO"/>
    <m/>
    <m/>
    <n v="-534.36666666666667"/>
    <n v="-44.530555555555559"/>
    <m/>
    <s v="Straight line"/>
    <n v="0"/>
    <n v="-1824.1667579908676"/>
    <m/>
    <m/>
    <m/>
    <m/>
    <n v="0"/>
    <n v="1382.0332420091322"/>
    <n v="-1289.8000913242008"/>
    <m/>
    <m/>
    <m/>
    <m/>
    <m/>
    <s v="L Zwane"/>
    <m/>
    <m/>
    <m/>
    <m/>
    <n v="0"/>
  </r>
  <r>
    <n v="1617"/>
    <s v="Open Plan core business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06.2"/>
    <m/>
    <m/>
    <m/>
    <m/>
    <n v="3206.2"/>
    <n v="1916.399908675799"/>
    <n v="0"/>
    <m/>
    <m/>
    <n v="-1289.8000913242008"/>
    <m/>
    <s v="NO"/>
    <m/>
    <m/>
    <n v="-534.36666666666667"/>
    <n v="-44.530555555555559"/>
    <m/>
    <s v="Straight line"/>
    <n v="0"/>
    <n v="-1824.1667579908676"/>
    <m/>
    <m/>
    <m/>
    <m/>
    <n v="0"/>
    <n v="1382.0332420091322"/>
    <n v="-1289.8000913242008"/>
    <m/>
    <m/>
    <m/>
    <m/>
    <m/>
    <s v="G. Lekhonkhobe"/>
    <m/>
    <m/>
    <m/>
    <m/>
    <n v="0"/>
  </r>
  <r>
    <n v="1634"/>
    <s v="R8 executive offices "/>
    <s v="PPE"/>
    <x v="0"/>
    <s v="MOV"/>
    <x v="0"/>
    <s v="OTH"/>
    <x v="0"/>
    <s v="OTH"/>
    <s v="Other Assets"/>
    <s v="Main offices"/>
    <s v="Main offices"/>
    <s v="OTH"/>
    <s v="Black chair Ativo"/>
    <s v="OTH"/>
    <m/>
    <s v="Black chair Ativo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206.2"/>
    <m/>
    <m/>
    <m/>
    <m/>
    <n v="3206.2"/>
    <n v="1916.399908675799"/>
    <n v="0"/>
    <m/>
    <m/>
    <n v="-1289.8000913242008"/>
    <m/>
    <s v="NO"/>
    <m/>
    <m/>
    <n v="-534.36666666666667"/>
    <n v="-44.530555555555559"/>
    <m/>
    <s v="Straight line"/>
    <n v="0"/>
    <n v="-1824.1667579908676"/>
    <m/>
    <m/>
    <m/>
    <m/>
    <n v="0"/>
    <n v="1382.0332420091322"/>
    <n v="-1289.8000913242008"/>
    <m/>
    <m/>
    <m/>
    <m/>
    <m/>
    <s v="N.Ngabeni"/>
    <m/>
    <m/>
    <m/>
    <m/>
    <n v="0"/>
  </r>
  <r>
    <n v="1618"/>
    <s v="R30"/>
    <s v="PPE"/>
    <x v="0"/>
    <s v="MOV"/>
    <x v="0"/>
    <s v="OTH"/>
    <x v="0"/>
    <s v="OTH"/>
    <s v="Other Assets"/>
    <s v="Main offices"/>
    <s v="Main offices"/>
    <s v="OTH"/>
    <s v="Training Table"/>
    <s v="OTH"/>
    <m/>
    <s v="Training Table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1697.4"/>
    <m/>
    <m/>
    <m/>
    <m/>
    <n v="1697.4"/>
    <n v="1014.5646575342466"/>
    <n v="0"/>
    <m/>
    <m/>
    <n v="-682.83534246575346"/>
    <m/>
    <s v="NO"/>
    <m/>
    <m/>
    <n v="-282.90000000000003"/>
    <n v="-23.575000000000003"/>
    <m/>
    <s v="Straight line"/>
    <n v="0"/>
    <n v="-965.73534246575355"/>
    <m/>
    <m/>
    <m/>
    <m/>
    <n v="0"/>
    <n v="731.66465753424654"/>
    <n v="-682.83534246575346"/>
    <m/>
    <m/>
    <m/>
    <m/>
    <m/>
    <s v="S.skenjana"/>
    <m/>
    <m/>
    <m/>
    <m/>
    <n v="0"/>
  </r>
  <r>
    <n v="1619"/>
    <s v="Open plan Co- Business "/>
    <s v="PPE"/>
    <x v="0"/>
    <s v="MOV"/>
    <x v="0"/>
    <s v="OTH"/>
    <x v="0"/>
    <s v="OTH"/>
    <s v="Other Assets"/>
    <s v="Main offices"/>
    <s v="Main offices"/>
    <s v="OTH"/>
    <s v="Training Table"/>
    <s v="OTH"/>
    <m/>
    <s v="Training Table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1697.4"/>
    <m/>
    <m/>
    <m/>
    <m/>
    <n v="1697.4"/>
    <n v="1014.5646575342466"/>
    <n v="0"/>
    <m/>
    <m/>
    <n v="-682.83534246575346"/>
    <m/>
    <s v="NO"/>
    <m/>
    <m/>
    <n v="-282.90000000000003"/>
    <n v="-23.575000000000003"/>
    <m/>
    <s v="Straight line"/>
    <n v="0"/>
    <n v="-965.73534246575355"/>
    <m/>
    <m/>
    <m/>
    <m/>
    <n v="0"/>
    <n v="731.66465753424654"/>
    <n v="-682.83534246575346"/>
    <m/>
    <m/>
    <m/>
    <m/>
    <m/>
    <s v="G. Mathye"/>
    <m/>
    <m/>
    <m/>
    <m/>
    <n v="0"/>
  </r>
  <r>
    <n v="1620"/>
    <s v="Open plan Risk"/>
    <s v="PPE"/>
    <x v="0"/>
    <s v="MOV"/>
    <x v="0"/>
    <s v="OTH"/>
    <x v="0"/>
    <s v="OTH"/>
    <s v="Other Assets"/>
    <s v="Main offices"/>
    <s v="Main offices"/>
    <s v="OTH"/>
    <s v="Training Table"/>
    <s v="OTH"/>
    <m/>
    <s v="Training Table"/>
    <s v="Cost Model"/>
    <s v="Owned"/>
    <s v="Core"/>
    <x v="0"/>
    <s v="Finance and Administration : Asset Management"/>
    <s v="FX005002001000000000000000000000000"/>
    <s v="IA002015001018001001000000000000000000"/>
    <n v="1"/>
    <s v="17/11/2022"/>
    <d v="2022-11-17T00:00:00"/>
    <s v="NO"/>
    <s v="Yes"/>
    <d v="2023-03-31T00:00:00"/>
    <s v="NA - Actual Cost"/>
    <n v="6"/>
    <n v="0"/>
    <n v="0"/>
    <s v="No Change"/>
    <m/>
    <m/>
    <n v="3.6328767123287671"/>
    <n v="0"/>
    <n v="3.6328767123287671"/>
    <n v="2.6328767123287671"/>
    <s v="2 - Good  (46-70%)"/>
    <m/>
    <s v="Actual Cost"/>
    <n v="0"/>
    <m/>
    <m/>
    <m/>
    <m/>
    <n v="0"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s v="N.Ngwaila"/>
    <m/>
    <m/>
    <m/>
    <m/>
    <n v="0"/>
  </r>
  <r>
    <n v="1621"/>
    <s v="Open Plan Co business "/>
    <s v="PPE"/>
    <x v="0"/>
    <s v="MOV"/>
    <x v="0"/>
    <s v="OTH"/>
    <x v="0"/>
    <s v="OTH"/>
    <s v="Other Assets"/>
    <s v="Main offices"/>
    <s v="Main offices"/>
    <s v="OTH"/>
    <s v="Training Table"/>
    <s v="OTH"/>
    <m/>
    <s v="Training Table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1697.4"/>
    <m/>
    <m/>
    <m/>
    <m/>
    <n v="1697.4"/>
    <n v="1014.5646575342466"/>
    <n v="0"/>
    <m/>
    <m/>
    <n v="-682.83534246575346"/>
    <m/>
    <s v="NO"/>
    <m/>
    <m/>
    <n v="-282.90000000000003"/>
    <n v="-23.575000000000003"/>
    <m/>
    <s v="Straight line"/>
    <n v="0"/>
    <n v="-965.73534246575355"/>
    <m/>
    <m/>
    <m/>
    <m/>
    <n v="0"/>
    <n v="731.66465753424654"/>
    <n v="-682.83534246575346"/>
    <m/>
    <m/>
    <m/>
    <m/>
    <m/>
    <s v="Z. Makhawula"/>
    <m/>
    <m/>
    <m/>
    <m/>
    <n v="0"/>
  </r>
  <r>
    <n v="1622"/>
    <s v="Open Plan Co business "/>
    <s v="PPE"/>
    <x v="0"/>
    <s v="MOV"/>
    <x v="0"/>
    <s v="OTH"/>
    <x v="0"/>
    <s v="OTH"/>
    <s v="Other Assets"/>
    <s v="Main offices"/>
    <s v="Main offices"/>
    <s v="OTH"/>
    <s v="Training Table"/>
    <s v="OTH"/>
    <m/>
    <s v="Training Table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1697.4"/>
    <m/>
    <m/>
    <m/>
    <m/>
    <n v="1697.4"/>
    <n v="1014.5646575342466"/>
    <n v="0"/>
    <m/>
    <m/>
    <n v="-682.83534246575346"/>
    <m/>
    <s v="NO"/>
    <m/>
    <m/>
    <n v="-282.90000000000003"/>
    <n v="-23.575000000000003"/>
    <m/>
    <s v="Straight line"/>
    <n v="0"/>
    <n v="-965.73534246575355"/>
    <m/>
    <m/>
    <m/>
    <m/>
    <n v="0"/>
    <n v="731.66465753424654"/>
    <n v="-682.83534246575346"/>
    <m/>
    <m/>
    <m/>
    <m/>
    <m/>
    <s v="PF. Ceza"/>
    <m/>
    <m/>
    <m/>
    <m/>
    <n v="0"/>
  </r>
  <r>
    <n v="11623"/>
    <s v="R31"/>
    <s v="PPE"/>
    <x v="0"/>
    <s v="MOV"/>
    <x v="0"/>
    <s v="OTH"/>
    <x v="0"/>
    <s v="OTH"/>
    <s v="Other Assets"/>
    <s v="Main offices"/>
    <s v="Main offices"/>
    <s v="OTH"/>
    <s v="Training Table"/>
    <s v="OTH"/>
    <m/>
    <s v="Training Table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3 - Fair (26-45%)"/>
    <m/>
    <s v="Actual Cost"/>
    <n v="1697.4"/>
    <m/>
    <m/>
    <m/>
    <m/>
    <n v="1697.4"/>
    <n v="1014.5646575342466"/>
    <n v="0"/>
    <m/>
    <m/>
    <n v="-682.83534246575346"/>
    <m/>
    <s v="NO"/>
    <m/>
    <m/>
    <n v="-282.90000000000003"/>
    <n v="-23.575000000000003"/>
    <m/>
    <s v="Straight line"/>
    <n v="0"/>
    <n v="-965.73534246575355"/>
    <m/>
    <m/>
    <m/>
    <m/>
    <n v="0"/>
    <n v="731.66465753424654"/>
    <n v="-682.83534246575346"/>
    <m/>
    <m/>
    <m/>
    <m/>
    <m/>
    <s v="A.Mlaudzi"/>
    <m/>
    <m/>
    <m/>
    <m/>
    <n v="0"/>
  </r>
  <r>
    <n v="1623"/>
    <s v="Open Plan core business"/>
    <s v="PPE"/>
    <x v="0"/>
    <s v="MOV"/>
    <x v="0"/>
    <s v="OTH"/>
    <x v="0"/>
    <s v="OTH"/>
    <s v="Other Assets"/>
    <s v="Main offices"/>
    <s v="Main offices"/>
    <s v="OTH"/>
    <s v="Training Table"/>
    <s v="OTH"/>
    <m/>
    <s v="Training Table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1697.4"/>
    <m/>
    <m/>
    <m/>
    <m/>
    <n v="1697.4"/>
    <n v="1014.5646575342466"/>
    <n v="0"/>
    <m/>
    <m/>
    <n v="-682.83534246575346"/>
    <m/>
    <s v="NO"/>
    <m/>
    <m/>
    <n v="-282.90000000000003"/>
    <n v="-23.575000000000003"/>
    <m/>
    <s v="Straight line"/>
    <n v="0"/>
    <n v="-965.73534246575355"/>
    <m/>
    <m/>
    <m/>
    <m/>
    <n v="0"/>
    <n v="731.66465753424654"/>
    <n v="-682.83534246575346"/>
    <m/>
    <m/>
    <m/>
    <m/>
    <m/>
    <s v="G. Lekhonkhobe"/>
    <m/>
    <m/>
    <m/>
    <m/>
    <n v="0"/>
  </r>
  <r>
    <n v="1624"/>
    <s v="R27"/>
    <s v="PPE"/>
    <x v="0"/>
    <s v="MOV"/>
    <x v="0"/>
    <s v="OTH"/>
    <x v="0"/>
    <s v="OTH"/>
    <s v="Other Assets"/>
    <s v="Main offices"/>
    <s v="Main offices"/>
    <s v="OTH"/>
    <s v="Training Table"/>
    <s v="OTH"/>
    <m/>
    <s v="Training Table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1697.4"/>
    <m/>
    <m/>
    <m/>
    <m/>
    <n v="1697.4"/>
    <n v="1014.5646575342466"/>
    <n v="0"/>
    <m/>
    <m/>
    <n v="-682.83534246575346"/>
    <m/>
    <s v="NO"/>
    <m/>
    <m/>
    <n v="-282.90000000000003"/>
    <n v="-23.575000000000003"/>
    <m/>
    <s v="Straight line"/>
    <n v="0"/>
    <n v="-965.73534246575355"/>
    <m/>
    <m/>
    <m/>
    <m/>
    <n v="0"/>
    <n v="731.66465753424654"/>
    <n v="-682.83534246575346"/>
    <m/>
    <m/>
    <m/>
    <m/>
    <m/>
    <s v="B. Maqasela"/>
    <m/>
    <m/>
    <m/>
    <m/>
    <n v="0"/>
  </r>
  <r>
    <n v="1625"/>
    <s v="Open Plan Co business "/>
    <s v="PPE"/>
    <x v="0"/>
    <s v="MOV"/>
    <x v="0"/>
    <s v="OTH"/>
    <x v="0"/>
    <s v="OTH"/>
    <s v="Other Assets"/>
    <s v="Main offices"/>
    <s v="Main offices"/>
    <s v="OTH"/>
    <s v="Training Table"/>
    <s v="OTH"/>
    <m/>
    <s v="Training Table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1697.4"/>
    <m/>
    <m/>
    <m/>
    <m/>
    <n v="1697.4"/>
    <n v="1014.5646575342466"/>
    <n v="0"/>
    <m/>
    <m/>
    <n v="-682.83534246575346"/>
    <m/>
    <s v="NO"/>
    <m/>
    <m/>
    <n v="-282.90000000000003"/>
    <n v="-23.575000000000003"/>
    <m/>
    <s v="Straight line"/>
    <n v="0"/>
    <n v="-965.73534246575355"/>
    <m/>
    <m/>
    <m/>
    <m/>
    <n v="0"/>
    <n v="731.66465753424654"/>
    <n v="-682.83534246575346"/>
    <m/>
    <m/>
    <m/>
    <m/>
    <m/>
    <s v="Z. Makhawula"/>
    <m/>
    <m/>
    <m/>
    <m/>
    <n v="0"/>
  </r>
  <r>
    <n v="1626"/>
    <s v="Open plan co-Business"/>
    <s v="PPE"/>
    <x v="0"/>
    <s v="MOV"/>
    <x v="0"/>
    <s v="OTH"/>
    <x v="0"/>
    <s v="OTH"/>
    <s v="Other Assets"/>
    <s v="Main offices"/>
    <s v="Main offices"/>
    <s v="OTH"/>
    <s v="Training Table"/>
    <s v="OTH"/>
    <m/>
    <s v="Training Table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1697.4"/>
    <m/>
    <m/>
    <m/>
    <m/>
    <n v="1697.4"/>
    <n v="1014.5646575342466"/>
    <n v="0"/>
    <m/>
    <m/>
    <n v="-682.83534246575346"/>
    <m/>
    <s v="NO"/>
    <m/>
    <m/>
    <n v="-282.90000000000003"/>
    <n v="-23.575000000000003"/>
    <m/>
    <s v="Straight line"/>
    <n v="0"/>
    <n v="-965.73534246575355"/>
    <m/>
    <m/>
    <m/>
    <m/>
    <n v="0"/>
    <n v="731.66465753424654"/>
    <n v="-682.83534246575346"/>
    <m/>
    <m/>
    <m/>
    <m/>
    <m/>
    <s v="KS. Mojapelo"/>
    <m/>
    <m/>
    <m/>
    <m/>
    <n v="0"/>
  </r>
  <r>
    <n v="1627"/>
    <s v="Open plan co- business "/>
    <s v="PPE"/>
    <x v="0"/>
    <s v="MOV"/>
    <x v="0"/>
    <s v="OTH"/>
    <x v="0"/>
    <s v="OTH"/>
    <s v="Other Assets"/>
    <s v="Main offices"/>
    <s v="Main offices"/>
    <s v="OTH"/>
    <s v="Training Table"/>
    <s v="OTH"/>
    <m/>
    <s v="Training Table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1697.4"/>
    <m/>
    <m/>
    <m/>
    <m/>
    <n v="1697.4"/>
    <n v="1014.5646575342466"/>
    <n v="0"/>
    <m/>
    <m/>
    <n v="-682.83534246575346"/>
    <m/>
    <s v="NO"/>
    <m/>
    <m/>
    <n v="-282.90000000000003"/>
    <n v="-23.575000000000003"/>
    <m/>
    <s v="Straight line"/>
    <n v="0"/>
    <n v="-965.73534246575355"/>
    <m/>
    <m/>
    <m/>
    <m/>
    <n v="0"/>
    <n v="731.66465753424654"/>
    <n v="-682.83534246575346"/>
    <m/>
    <m/>
    <m/>
    <m/>
    <m/>
    <s v="M. Maponyana"/>
    <m/>
    <m/>
    <m/>
    <m/>
    <n v="0"/>
  </r>
  <r>
    <n v="1628"/>
    <s v="Open Plan core business"/>
    <s v="PPE"/>
    <x v="0"/>
    <s v="MOV"/>
    <x v="0"/>
    <s v="OTH"/>
    <x v="0"/>
    <s v="OTH"/>
    <s v="Other Assets"/>
    <s v="Main offices"/>
    <s v="Main offices"/>
    <s v="OTH"/>
    <s v="Desk &amp; Pedestal"/>
    <s v="OTH"/>
    <m/>
    <s v="Desk &amp; Pedestal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749"/>
    <m/>
    <m/>
    <m/>
    <m/>
    <n v="3749"/>
    <n v="2240.8406392694064"/>
    <n v="0"/>
    <m/>
    <m/>
    <n v="-1508.1593607305936"/>
    <m/>
    <s v="NO"/>
    <m/>
    <m/>
    <n v="-624.83333333333337"/>
    <n v="-52.06944444444445"/>
    <m/>
    <s v="Straight line"/>
    <n v="0"/>
    <n v="-2132.992694063927"/>
    <m/>
    <m/>
    <m/>
    <m/>
    <n v="0"/>
    <n v="1616.007305936073"/>
    <n v="-1508.1593607305936"/>
    <m/>
    <m/>
    <m/>
    <m/>
    <m/>
    <s v="N. Maluleke"/>
    <m/>
    <m/>
    <m/>
    <m/>
    <n v="0"/>
  </r>
  <r>
    <n v="1630"/>
    <s v="Open Plan core business"/>
    <s v="PPE"/>
    <x v="0"/>
    <s v="MOV"/>
    <x v="0"/>
    <s v="OTH"/>
    <x v="0"/>
    <s v="OTH"/>
    <s v="Other Assets"/>
    <s v="Main offices"/>
    <s v="Main offices"/>
    <s v="OTH"/>
    <s v="Desk &amp; Pedestal"/>
    <s v="OTH"/>
    <m/>
    <s v="Desk &amp; Pedestal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749"/>
    <m/>
    <m/>
    <m/>
    <m/>
    <n v="3749"/>
    <n v="2240.8406392694064"/>
    <n v="0"/>
    <m/>
    <m/>
    <n v="-1508.1593607305936"/>
    <m/>
    <s v="NO"/>
    <m/>
    <m/>
    <n v="-624.83333333333337"/>
    <n v="-52.06944444444445"/>
    <m/>
    <s v="Straight line"/>
    <n v="0"/>
    <n v="-2132.992694063927"/>
    <m/>
    <m/>
    <m/>
    <m/>
    <n v="0"/>
    <n v="1616.007305936073"/>
    <n v="-1508.1593607305936"/>
    <m/>
    <m/>
    <m/>
    <m/>
    <m/>
    <s v="K. Bodiba"/>
    <m/>
    <m/>
    <m/>
    <m/>
    <n v="0"/>
  </r>
  <r>
    <n v="1631"/>
    <s v="Open Plan core business"/>
    <s v="PPE"/>
    <x v="0"/>
    <s v="MOV"/>
    <x v="0"/>
    <s v="OTH"/>
    <x v="0"/>
    <s v="OTH"/>
    <s v="Other Assets"/>
    <s v="Main offices"/>
    <s v="Main offices"/>
    <s v="OTH"/>
    <s v="Desk &amp; Pedestal"/>
    <s v="OTH"/>
    <m/>
    <s v="Desk &amp; Pedestal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749"/>
    <m/>
    <m/>
    <m/>
    <m/>
    <n v="3749"/>
    <n v="2240.8406392694064"/>
    <n v="0"/>
    <m/>
    <m/>
    <n v="-1508.1593607305936"/>
    <m/>
    <s v="NO"/>
    <m/>
    <m/>
    <n v="-624.83333333333337"/>
    <n v="-52.06944444444445"/>
    <m/>
    <s v="Straight line"/>
    <n v="0"/>
    <n v="-2132.992694063927"/>
    <m/>
    <m/>
    <m/>
    <m/>
    <n v="0"/>
    <n v="1616.007305936073"/>
    <n v="-1508.1593607305936"/>
    <m/>
    <m/>
    <m/>
    <m/>
    <m/>
    <s v="G. Lekhonkhobe"/>
    <m/>
    <m/>
    <m/>
    <m/>
    <n v="0"/>
  </r>
  <r>
    <n v="1632"/>
    <s v="Open Plan Co business "/>
    <s v="PPE"/>
    <x v="0"/>
    <s v="MOV"/>
    <x v="0"/>
    <s v="OTH"/>
    <x v="0"/>
    <s v="OTH"/>
    <s v="Other Assets"/>
    <s v="Main offices"/>
    <s v="Main offices"/>
    <s v="OTH"/>
    <s v="Desk &amp; Pedestal"/>
    <s v="OTH"/>
    <m/>
    <s v="Desk &amp; Pedestal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749"/>
    <m/>
    <m/>
    <m/>
    <m/>
    <n v="3749"/>
    <n v="2240.8406392694064"/>
    <n v="0"/>
    <m/>
    <m/>
    <n v="-1508.1593607305936"/>
    <m/>
    <s v="NO"/>
    <m/>
    <m/>
    <n v="-624.83333333333337"/>
    <n v="-52.06944444444445"/>
    <m/>
    <s v="Straight line"/>
    <n v="0"/>
    <n v="-2132.992694063927"/>
    <m/>
    <m/>
    <m/>
    <m/>
    <n v="0"/>
    <n v="1616.007305936073"/>
    <n v="-1508.1593607305936"/>
    <m/>
    <m/>
    <m/>
    <m/>
    <m/>
    <s v="SC. Thobejane"/>
    <m/>
    <m/>
    <m/>
    <m/>
    <n v="0"/>
  </r>
  <r>
    <n v="1633"/>
    <s v="Open Plan Co business "/>
    <s v="PPE"/>
    <x v="0"/>
    <s v="MOV"/>
    <x v="0"/>
    <s v="OTH"/>
    <x v="0"/>
    <s v="OTH"/>
    <s v="Other Assets"/>
    <s v="Main offices"/>
    <s v="Main offices"/>
    <s v="OTH"/>
    <s v="Desk &amp; Pedestal"/>
    <s v="OTH"/>
    <m/>
    <s v="Desk &amp; Pedestal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749"/>
    <m/>
    <m/>
    <m/>
    <m/>
    <n v="3749"/>
    <n v="2240.8406392694064"/>
    <n v="0"/>
    <m/>
    <m/>
    <n v="-1508.1593607305936"/>
    <m/>
    <s v="NO"/>
    <m/>
    <m/>
    <n v="-624.83333333333337"/>
    <n v="-52.06944444444445"/>
    <m/>
    <s v="Straight line"/>
    <n v="0"/>
    <n v="-2132.992694063927"/>
    <m/>
    <m/>
    <m/>
    <m/>
    <n v="0"/>
    <n v="1616.007305936073"/>
    <n v="-1508.1593607305936"/>
    <m/>
    <m/>
    <m/>
    <m/>
    <m/>
    <s v="T. Mphahlele"/>
    <m/>
    <m/>
    <m/>
    <m/>
    <n v="0"/>
  </r>
  <r>
    <n v="1635"/>
    <s v="R27"/>
    <s v="PPE"/>
    <x v="0"/>
    <s v="MOV"/>
    <x v="0"/>
    <s v="OTH"/>
    <x v="0"/>
    <s v="OTH"/>
    <s v="Other Assets"/>
    <s v="Main offices"/>
    <s v="Main offices"/>
    <s v="OTH"/>
    <s v="Desk &amp; Pedestal"/>
    <s v="OTH"/>
    <m/>
    <s v="Desk &amp; Pedestal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749"/>
    <m/>
    <m/>
    <m/>
    <m/>
    <n v="3749"/>
    <n v="2240.8406392694064"/>
    <n v="0"/>
    <m/>
    <m/>
    <n v="-1508.1593607305936"/>
    <m/>
    <s v="NO"/>
    <m/>
    <m/>
    <n v="-624.83333333333337"/>
    <n v="-52.06944444444445"/>
    <m/>
    <s v="Straight line"/>
    <n v="0"/>
    <n v="-2132.992694063927"/>
    <m/>
    <m/>
    <m/>
    <m/>
    <n v="0"/>
    <n v="1616.007305936073"/>
    <n v="-1508.1593607305936"/>
    <m/>
    <m/>
    <m/>
    <m/>
    <m/>
    <s v="G. Mathye"/>
    <m/>
    <m/>
    <m/>
    <m/>
    <n v="0"/>
  </r>
  <r>
    <n v="1636"/>
    <s v="Open Plan Co business "/>
    <s v="PPE"/>
    <x v="0"/>
    <s v="MOV"/>
    <x v="0"/>
    <s v="OTH"/>
    <x v="0"/>
    <s v="OTH"/>
    <s v="Other Assets"/>
    <s v="Main offices"/>
    <s v="Main offices"/>
    <s v="OTH"/>
    <s v="Desk &amp; Pedestal"/>
    <s v="OTH"/>
    <m/>
    <s v="Desk &amp; Pedestal"/>
    <s v="Cost Model"/>
    <s v="Owned"/>
    <s v="Core"/>
    <x v="0"/>
    <s v="Finance and Administration : Asset Management"/>
    <s v="FX005002001000000000000000000000000"/>
    <s v="IA002015001018001001000000000000000000"/>
    <n v="1"/>
    <s v="31/10/2022"/>
    <d v="2022-10-31T00:00:00"/>
    <s v="NO"/>
    <s v="Yes"/>
    <d v="2023-03-31T00:00:00"/>
    <s v="NA - Actual Cost"/>
    <n v="6"/>
    <n v="0"/>
    <n v="0"/>
    <s v="No Change"/>
    <m/>
    <m/>
    <n v="3.5863013698630137"/>
    <n v="0"/>
    <n v="3.5863013698630137"/>
    <n v="2.5863013698630137"/>
    <s v="2 - Good  (46-70%)"/>
    <m/>
    <s v="Actual Cost"/>
    <n v="3749"/>
    <m/>
    <m/>
    <m/>
    <m/>
    <n v="3749"/>
    <n v="2240.8406392694064"/>
    <n v="0"/>
    <m/>
    <m/>
    <n v="-1508.1593607305936"/>
    <m/>
    <s v="NO"/>
    <m/>
    <m/>
    <n v="-624.83333333333337"/>
    <n v="-52.06944444444445"/>
    <m/>
    <s v="Straight line"/>
    <n v="0"/>
    <n v="-2132.992694063927"/>
    <m/>
    <m/>
    <m/>
    <m/>
    <n v="0"/>
    <n v="1616.007305936073"/>
    <n v="-1508.1593607305936"/>
    <m/>
    <m/>
    <m/>
    <m/>
    <m/>
    <s v="PF. Ceza"/>
    <m/>
    <m/>
    <m/>
    <m/>
    <n v="0"/>
  </r>
  <r>
    <n v="1946"/>
    <n v="2"/>
    <s v="PPE"/>
    <x v="0"/>
    <s v="MOV"/>
    <x v="0"/>
    <s v="OTH"/>
    <x v="1"/>
    <s v="OTH"/>
    <s v="Other Assets"/>
    <s v="Main offices"/>
    <s v="Main offices"/>
    <s v="OTH"/>
    <s v="Accessory 2 : 1x 11-16mm Lens ( with AF"/>
    <s v="OTH"/>
    <m/>
    <s v="Accessory 2 : 1x 11-16mm Lens ( with AF"/>
    <s v="Cost Model"/>
    <s v="Owned"/>
    <s v="Core"/>
    <x v="0"/>
    <s v="Finance and Administration : Asset Management"/>
    <s v="FX005002001000000000000000000000000"/>
    <s v="IA002015001018001001000000000000000000"/>
    <n v="1"/>
    <s v="08/04/2022"/>
    <d v="2022-04-08T00:00:00"/>
    <s v="NO"/>
    <s v="Yes"/>
    <d v="2023-03-31T00:00:00"/>
    <s v="NA - Actual Cost"/>
    <n v="6"/>
    <n v="0"/>
    <n v="0"/>
    <s v="No Change"/>
    <m/>
    <m/>
    <n v="3.021917808219178"/>
    <n v="0"/>
    <n v="3.021917808219178"/>
    <n v="2.021917808219178"/>
    <s v="2 - Good  (46-70%)"/>
    <m/>
    <s v="Actual Cost"/>
    <n v="7500"/>
    <m/>
    <m/>
    <m/>
    <m/>
    <n v="7500"/>
    <n v="3777.3972602739709"/>
    <n v="0"/>
    <m/>
    <m/>
    <n v="-3722.6027397260291"/>
    <m/>
    <s v="NO"/>
    <m/>
    <m/>
    <n v="-1249.9999999999995"/>
    <n v="-104.16666666666663"/>
    <m/>
    <s v="Straight line"/>
    <n v="0"/>
    <n v="-4972.6027397260286"/>
    <m/>
    <m/>
    <m/>
    <m/>
    <n v="0"/>
    <n v="2527.3972602739714"/>
    <n v="-3722.6027397260291"/>
    <m/>
    <m/>
    <m/>
    <m/>
    <m/>
    <s v="N. Gawula"/>
    <m/>
    <m/>
    <m/>
    <m/>
    <n v="0"/>
  </r>
  <r>
    <n v="1966"/>
    <n v="2"/>
    <s v="PPE"/>
    <x v="0"/>
    <s v="MOV"/>
    <x v="0"/>
    <s v="OTH"/>
    <x v="1"/>
    <s v="OTH"/>
    <s v="Other Assets"/>
    <s v="Main offices"/>
    <s v="Main offices"/>
    <s v="OTH"/>
    <s v="Accessory 3 : 1x 35mm lens ( with AF)"/>
    <s v="OTH"/>
    <m/>
    <s v="Accessory 3 : 1x 35mm lens ( with AF)"/>
    <s v="Cost Model"/>
    <s v="Owned"/>
    <s v="Core"/>
    <x v="0"/>
    <s v="Finance and Administration : Asset Management"/>
    <s v="FX005002001000000000000000000000000"/>
    <s v="IA002015001018001001000000000000000000"/>
    <n v="1"/>
    <s v="08/04/2022"/>
    <d v="2022-04-08T00:00:00"/>
    <s v="NO"/>
    <s v="Yes"/>
    <d v="2023-03-31T00:00:00"/>
    <s v="NA - Actual Cost"/>
    <n v="6"/>
    <n v="0"/>
    <n v="0"/>
    <s v="No Change"/>
    <m/>
    <m/>
    <n v="3.021917808219178"/>
    <n v="0"/>
    <n v="3.021917808219178"/>
    <n v="2.021917808219178"/>
    <s v="2 - Good  (46-70%)"/>
    <m/>
    <s v="Actual Cost"/>
    <n v="10500"/>
    <m/>
    <m/>
    <m/>
    <m/>
    <n v="10500"/>
    <n v="5288.3561643835601"/>
    <n v="0"/>
    <m/>
    <m/>
    <n v="-5211.6438356164399"/>
    <m/>
    <s v="NO"/>
    <m/>
    <m/>
    <n v="-1749.9999999999995"/>
    <n v="-145.83333333333329"/>
    <m/>
    <s v="Straight line"/>
    <n v="0"/>
    <n v="-6961.6438356164399"/>
    <m/>
    <m/>
    <m/>
    <m/>
    <n v="0"/>
    <n v="3538.3561643835601"/>
    <n v="-5211.6438356164399"/>
    <m/>
    <m/>
    <m/>
    <m/>
    <m/>
    <s v="N. Gawula"/>
    <m/>
    <m/>
    <m/>
    <m/>
    <n v="0"/>
  </r>
  <r>
    <n v="1959"/>
    <n v="2"/>
    <s v="PPE"/>
    <x v="0"/>
    <s v="MOV"/>
    <x v="0"/>
    <s v="OTH"/>
    <x v="1"/>
    <s v="OTH"/>
    <s v="Other Assets"/>
    <s v="Main offices"/>
    <s v="Main offices"/>
    <s v="OTH"/>
    <s v="Accessory 5 : 1x 18- 200mm lens (with AF)"/>
    <s v="OTH"/>
    <m/>
    <s v="Accessory 5 : 1x 18- 200mm lens (with AF)"/>
    <s v="Cost Model"/>
    <s v="Owned"/>
    <s v="Core"/>
    <x v="0"/>
    <s v="Finance and Administration : Asset Management"/>
    <s v="FX005002001000000000000000000000000"/>
    <s v="IA002015001018001001000000000000000000"/>
    <n v="1"/>
    <s v="08/04/2022"/>
    <d v="2022-04-08T00:00:00"/>
    <s v="NO"/>
    <s v="Yes"/>
    <d v="2023-03-31T00:00:00"/>
    <s v="NA - Actual Cost"/>
    <n v="6"/>
    <n v="0"/>
    <n v="0"/>
    <s v="No Change"/>
    <m/>
    <m/>
    <n v="3.021917808219178"/>
    <n v="0"/>
    <n v="3.021917808219178"/>
    <n v="2.021917808219178"/>
    <s v="2 - Good  (46-70%)"/>
    <m/>
    <s v="Actual Cost"/>
    <n v="15000"/>
    <m/>
    <m/>
    <m/>
    <m/>
    <n v="15000"/>
    <n v="7554.7945205479482"/>
    <n v="0"/>
    <m/>
    <m/>
    <n v="-7445.2054794520518"/>
    <m/>
    <s v="NO"/>
    <m/>
    <m/>
    <n v="-2500.0000000000009"/>
    <n v="-208.3333333333334"/>
    <m/>
    <s v="Straight line"/>
    <n v="0"/>
    <n v="-9945.2054794520518"/>
    <m/>
    <m/>
    <m/>
    <m/>
    <n v="0"/>
    <n v="5054.7945205479482"/>
    <n v="-7445.2054794520518"/>
    <m/>
    <m/>
    <m/>
    <m/>
    <m/>
    <s v="N. Gawula"/>
    <m/>
    <m/>
    <m/>
    <m/>
    <n v="0"/>
  </r>
  <r>
    <n v="1946"/>
    <n v="2"/>
    <s v="PPE"/>
    <x v="0"/>
    <s v="MOV"/>
    <x v="0"/>
    <s v="OTH"/>
    <x v="1"/>
    <s v="OTH"/>
    <s v="Other Assets"/>
    <s v="Main offices"/>
    <s v="Main offices"/>
    <s v="OTH"/>
    <s v="Accessory 6 : 1x 500mm Lens"/>
    <s v="OTH"/>
    <m/>
    <s v="Accessory 6 : 1x 500mm Lens"/>
    <s v="Cost Model"/>
    <s v="Owned"/>
    <s v="Core"/>
    <x v="0"/>
    <s v="Finance and Administration : Asset Management"/>
    <s v="FX005002001000000000000000000000000"/>
    <s v="IA002015001018001001000000000000000000"/>
    <n v="1"/>
    <s v="08/04/2022"/>
    <d v="2022-04-08T00:00:00"/>
    <s v="NO"/>
    <s v="Yes"/>
    <d v="2023-03-31T00:00:00"/>
    <s v="NA - Actual Cost"/>
    <n v="6"/>
    <n v="0"/>
    <n v="0"/>
    <s v="No Change"/>
    <m/>
    <m/>
    <n v="3.021917808219178"/>
    <n v="0"/>
    <n v="3.021917808219178"/>
    <n v="2.021917808219178"/>
    <s v="2 - Good  (46-70%)"/>
    <m/>
    <s v="Actual Cost"/>
    <n v="23600"/>
    <m/>
    <m/>
    <m/>
    <m/>
    <n v="23600"/>
    <n v="11886.210045662101"/>
    <n v="0"/>
    <m/>
    <m/>
    <n v="-11713.789954337899"/>
    <m/>
    <s v="NO"/>
    <m/>
    <m/>
    <n v="-3933.3333333333335"/>
    <n v="-327.77777777777777"/>
    <m/>
    <s v="Straight line"/>
    <n v="0"/>
    <n v="-15647.123287671233"/>
    <m/>
    <m/>
    <m/>
    <m/>
    <n v="0"/>
    <n v="7952.8767123287671"/>
    <n v="-11713.789954337899"/>
    <m/>
    <m/>
    <m/>
    <m/>
    <m/>
    <s v="N. Gawula"/>
    <m/>
    <m/>
    <m/>
    <m/>
    <n v="0"/>
  </r>
  <r>
    <m/>
    <n v="2"/>
    <s v="PPE"/>
    <x v="0"/>
    <s v="MOV"/>
    <x v="0"/>
    <s v="OTH"/>
    <x v="1"/>
    <s v="OTH"/>
    <s v="Other Assets"/>
    <s v="Main offices"/>
    <s v="Main offices"/>
    <s v="OTH"/>
    <s v="Accessory 7 : 1x external hard drive USB 3.0, 2TB, External durability, Fast Performance"/>
    <s v="OTH"/>
    <m/>
    <s v="Accessory 7 : 1x external hard drive USB 3.0, 2TB, External durability, Fast Performance"/>
    <s v="Cost Model"/>
    <s v="Owned"/>
    <s v="Core"/>
    <x v="0"/>
    <s v="Finance and Administration : Asset Management"/>
    <s v="FX005002001000000000000000000000000"/>
    <s v="IA002015001018001001000000000000000000"/>
    <n v="1"/>
    <s v="08/04/2022"/>
    <d v="2022-04-08T00:00:00"/>
    <s v="NO"/>
    <s v="Yes"/>
    <d v="2023-03-31T00:00:00"/>
    <s v="NA - Actual Cost"/>
    <n v="6"/>
    <n v="0"/>
    <n v="0"/>
    <s v="No Change"/>
    <m/>
    <m/>
    <n v="3.021917808219178"/>
    <n v="0"/>
    <n v="3.021917808219178"/>
    <n v="2.021917808219178"/>
    <s v="2 - Good  (46-70%)"/>
    <m/>
    <s v="Actual Cost"/>
    <n v="1450"/>
    <m/>
    <m/>
    <m/>
    <m/>
    <n v="1450"/>
    <n v="730.29680365296781"/>
    <n v="0"/>
    <m/>
    <m/>
    <n v="-719.70319634703219"/>
    <m/>
    <s v="NO"/>
    <m/>
    <m/>
    <n v="-241.6666666666666"/>
    <n v="-20.138888888888882"/>
    <m/>
    <s v="Straight line"/>
    <n v="0"/>
    <n v="-961.36986301369882"/>
    <m/>
    <m/>
    <m/>
    <m/>
    <n v="0"/>
    <n v="488.63013698630118"/>
    <n v="-719.70319634703219"/>
    <m/>
    <m/>
    <m/>
    <m/>
    <m/>
    <s v="N. Gawula"/>
    <m/>
    <m/>
    <m/>
    <m/>
    <n v="0"/>
  </r>
  <r>
    <m/>
    <n v="2"/>
    <s v="PPE"/>
    <x v="0"/>
    <s v="MOV"/>
    <x v="0"/>
    <s v="OTH"/>
    <x v="1"/>
    <s v="OTH"/>
    <s v="Other Assets"/>
    <s v="Main offices"/>
    <s v="Main offices"/>
    <s v="OTH"/>
    <s v="Accessory 7 : 1x external hard drive USB 3.0, 2TB, External durability, Fast Performance"/>
    <s v="OTH"/>
    <m/>
    <s v="Accessory 7 : 1x external hard drive USB 3.0, 2TB, External durability, Fast Performance"/>
    <s v="Cost Model"/>
    <s v="Owned"/>
    <s v="Core"/>
    <x v="0"/>
    <s v="Finance and Administration : Asset Management"/>
    <s v="FX005002001000000000000000000000000"/>
    <s v="IA002015001018001001000000000000000000"/>
    <n v="1"/>
    <s v="08/04/2022"/>
    <d v="2022-04-08T00:00:00"/>
    <s v="NO"/>
    <s v="Yes"/>
    <d v="2023-03-31T00:00:00"/>
    <s v="NA - Actual Cost"/>
    <n v="6"/>
    <n v="0"/>
    <n v="0"/>
    <s v="No Change"/>
    <m/>
    <m/>
    <n v="3.021917808219178"/>
    <n v="0"/>
    <n v="3.021917808219178"/>
    <n v="2.021917808219178"/>
    <s v="2 - Good  (46-70%)"/>
    <m/>
    <s v="Actual Cost"/>
    <n v="1450"/>
    <m/>
    <m/>
    <m/>
    <m/>
    <n v="1450"/>
    <n v="730.29680365296781"/>
    <n v="0"/>
    <m/>
    <m/>
    <n v="-719.70319634703219"/>
    <m/>
    <s v="NO"/>
    <m/>
    <m/>
    <n v="-241.6666666666666"/>
    <n v="-20.138888888888882"/>
    <m/>
    <s v="Straight line"/>
    <n v="0"/>
    <n v="-961.36986301369882"/>
    <m/>
    <m/>
    <m/>
    <m/>
    <n v="0"/>
    <n v="488.63013698630118"/>
    <n v="-719.70319634703219"/>
    <m/>
    <m/>
    <m/>
    <m/>
    <m/>
    <s v="N. Gawula"/>
    <m/>
    <m/>
    <m/>
    <m/>
    <n v="0"/>
  </r>
  <r>
    <m/>
    <n v="2"/>
    <s v="PPE"/>
    <x v="0"/>
    <s v="MOV"/>
    <x v="0"/>
    <s v="OTH"/>
    <x v="1"/>
    <s v="OTH"/>
    <s v="Other Assets"/>
    <s v="Main offices"/>
    <s v="Main offices"/>
    <s v="OTH"/>
    <s v="Tri-pod Stand"/>
    <s v="OTH"/>
    <m/>
    <s v="Tri-pod Stand"/>
    <s v="Cost Model"/>
    <s v="Owned"/>
    <s v="Core"/>
    <x v="0"/>
    <s v="Finance and Administration : Asset Management"/>
    <s v="FX005002001000000000000000000000000"/>
    <s v="IA002015001018001001000000000000000000"/>
    <n v="1"/>
    <s v="08/04/2022"/>
    <d v="2022-04-08T00:00:00"/>
    <s v="NO"/>
    <s v="Yes"/>
    <d v="2023-03-31T00:00:00"/>
    <s v="NA - Actual Cost"/>
    <n v="6"/>
    <n v="0"/>
    <n v="0"/>
    <s v="No Change"/>
    <m/>
    <m/>
    <n v="3.021917808219178"/>
    <n v="0"/>
    <n v="3.021917808219178"/>
    <n v="2.021917808219178"/>
    <s v="2 - Good  (46-70%)"/>
    <m/>
    <s v="Actual Cost"/>
    <n v="4000"/>
    <m/>
    <m/>
    <m/>
    <m/>
    <n v="4000"/>
    <n v="2014.6118721461187"/>
    <n v="0"/>
    <m/>
    <m/>
    <n v="-1985.3881278538813"/>
    <m/>
    <s v="NO"/>
    <m/>
    <m/>
    <n v="-666.66666666666663"/>
    <n v="-55.55555555555555"/>
    <m/>
    <s v="Straight line"/>
    <n v="0"/>
    <n v="-2652.0547945205481"/>
    <m/>
    <m/>
    <m/>
    <m/>
    <n v="0"/>
    <n v="1347.9452054794519"/>
    <n v="-1985.3881278538813"/>
    <m/>
    <m/>
    <m/>
    <m/>
    <m/>
    <s v="N. Gawula"/>
    <m/>
    <m/>
    <m/>
    <m/>
    <n v="0"/>
  </r>
  <r>
    <m/>
    <n v="2"/>
    <s v="PPE"/>
    <x v="0"/>
    <s v="MOV"/>
    <x v="0"/>
    <s v="OTH"/>
    <x v="1"/>
    <s v="OTH"/>
    <s v="Other Assets"/>
    <s v="Main offices"/>
    <s v="Main offices"/>
    <s v="OTH"/>
    <s v="Tri-pod Stand"/>
    <s v="OTH"/>
    <m/>
    <s v="Tri-pod Stand"/>
    <s v="Cost Model"/>
    <s v="Owned"/>
    <s v="Core"/>
    <x v="0"/>
    <s v="Finance and Administration : Asset Management"/>
    <s v="FX005002001000000000000000000000000"/>
    <s v="IA002015001018001001000000000000000000"/>
    <n v="1"/>
    <s v="08/04/2022"/>
    <d v="2022-04-08T00:00:00"/>
    <s v="NO"/>
    <s v="Yes"/>
    <d v="2023-03-31T00:00:00"/>
    <s v="NA - Actual Cost"/>
    <n v="6"/>
    <n v="0"/>
    <n v="0"/>
    <s v="No Change"/>
    <m/>
    <m/>
    <n v="3.021917808219178"/>
    <n v="0"/>
    <n v="3.021917808219178"/>
    <n v="2.021917808219178"/>
    <s v="2 - Good  (46-70%)"/>
    <m/>
    <s v="Actual Cost"/>
    <n v="4000"/>
    <m/>
    <m/>
    <m/>
    <m/>
    <n v="4000"/>
    <n v="2014.6118721461187"/>
    <n v="0"/>
    <m/>
    <m/>
    <n v="-1985.3881278538813"/>
    <m/>
    <s v="NO"/>
    <m/>
    <m/>
    <n v="-666.66666666666663"/>
    <n v="-55.55555555555555"/>
    <m/>
    <s v="Straight line"/>
    <n v="0"/>
    <n v="-2652.0547945205481"/>
    <m/>
    <m/>
    <m/>
    <m/>
    <n v="0"/>
    <n v="1347.9452054794519"/>
    <n v="-1985.3881278538813"/>
    <m/>
    <m/>
    <m/>
    <m/>
    <m/>
    <s v="N. Gawula"/>
    <m/>
    <m/>
    <m/>
    <m/>
    <n v="0"/>
  </r>
  <r>
    <m/>
    <n v="2"/>
    <s v="PPE"/>
    <x v="0"/>
    <s v="MOV"/>
    <x v="0"/>
    <s v="OTH"/>
    <x v="1"/>
    <s v="OTH"/>
    <s v="Other Assets"/>
    <s v="Main offices"/>
    <s v="Main offices"/>
    <s v="OTH"/>
    <s v="Editing Software"/>
    <s v="OTH"/>
    <m/>
    <s v="Editing Software"/>
    <s v="Cost Model"/>
    <s v="Owned"/>
    <s v="Core"/>
    <x v="0"/>
    <s v="Finance and Administration : Asset Management"/>
    <s v="FX005002001000000000000000000000000"/>
    <s v="IA002015001018001001000000000000000000"/>
    <n v="1"/>
    <s v="08/04/2022"/>
    <d v="2022-04-08T00:00:00"/>
    <s v="NO"/>
    <s v="Yes"/>
    <d v="2023-03-31T00:00:00"/>
    <s v="NA - Actual Cost"/>
    <n v="6"/>
    <n v="0"/>
    <n v="0"/>
    <s v="No Change"/>
    <m/>
    <m/>
    <n v="3.021917808219178"/>
    <n v="0"/>
    <n v="3.021917808219178"/>
    <n v="2.021917808219178"/>
    <s v="2 - Good  (46-70%)"/>
    <m/>
    <s v="Actual Cost"/>
    <n v="1100"/>
    <m/>
    <m/>
    <m/>
    <m/>
    <n v="1100"/>
    <n v="554.0182648401825"/>
    <n v="0"/>
    <m/>
    <m/>
    <n v="-545.9817351598175"/>
    <m/>
    <s v="NO"/>
    <m/>
    <m/>
    <n v="-183.33333333333329"/>
    <n v="-15.277777777777773"/>
    <m/>
    <s v="Straight line"/>
    <n v="0"/>
    <n v="-729.31506849315076"/>
    <m/>
    <m/>
    <m/>
    <m/>
    <n v="0"/>
    <n v="370.68493150684924"/>
    <n v="-545.9817351598175"/>
    <m/>
    <m/>
    <m/>
    <m/>
    <m/>
    <s v="N. Gawula"/>
    <m/>
    <m/>
    <m/>
    <m/>
    <n v="0"/>
  </r>
  <r>
    <n v="1544"/>
    <s v="R29"/>
    <s v="PPE"/>
    <x v="0"/>
    <s v="MOV"/>
    <x v="0"/>
    <s v="OTH"/>
    <x v="1"/>
    <s v="OTH"/>
    <s v="Other Assets"/>
    <s v="Main offices"/>
    <s v="Main offices"/>
    <s v="OTH"/>
    <s v="Samsung Exhibition  Monitor/Digital screen"/>
    <s v="OTH"/>
    <m/>
    <s v="Samsung Exhibition  Monitor/Digital screen"/>
    <s v="Cost Model"/>
    <s v="Owned"/>
    <s v="Core"/>
    <x v="0"/>
    <s v="Finance and Administration : Asset Management"/>
    <s v="FX005002001000000000000000000000000"/>
    <s v="IA002015001018001001000000000000000000"/>
    <n v="1"/>
    <s v="08/04/2022"/>
    <d v="2022-04-08T00:00:00"/>
    <s v="NO"/>
    <s v="Yes"/>
    <d v="2023-03-31T00:00:00"/>
    <s v="NA - Actual Cost"/>
    <n v="6"/>
    <n v="0"/>
    <n v="0"/>
    <s v="No Change"/>
    <m/>
    <m/>
    <n v="3.021917808219178"/>
    <n v="0"/>
    <n v="3.021917808219178"/>
    <n v="2.021917808219178"/>
    <s v="2 - Good  (46-70%)"/>
    <m/>
    <s v="Actual Cost"/>
    <n v="18000"/>
    <m/>
    <m/>
    <m/>
    <m/>
    <n v="18000"/>
    <n v="9065.7534246575342"/>
    <n v="0"/>
    <m/>
    <m/>
    <n v="-8934.2465753424658"/>
    <m/>
    <s v="NO"/>
    <m/>
    <m/>
    <n v="-3000"/>
    <n v="-250"/>
    <m/>
    <s v="Straight line"/>
    <n v="0"/>
    <n v="-11934.246575342466"/>
    <m/>
    <m/>
    <m/>
    <m/>
    <n v="0"/>
    <n v="6065.7534246575342"/>
    <n v="-8934.2465753424658"/>
    <m/>
    <m/>
    <m/>
    <m/>
    <m/>
    <s v="A.MULAUDZI"/>
    <m/>
    <m/>
    <m/>
    <m/>
    <n v="0"/>
  </r>
  <r>
    <n v="1510"/>
    <s v="R33"/>
    <s v="PPE"/>
    <x v="0"/>
    <s v="MOV"/>
    <x v="0"/>
    <s v="OTH"/>
    <x v="1"/>
    <s v="OTH"/>
    <s v="Other Assets"/>
    <s v="Main offices"/>
    <s v="Main offices"/>
    <s v="OTH"/>
    <s v="Samsung Exhibition Monitor/Digital screen"/>
    <s v="OTH"/>
    <m/>
    <s v="Samsung Exhibition Monitor/Digital screen"/>
    <s v="Cost Model"/>
    <s v="Owned"/>
    <s v="Core"/>
    <x v="0"/>
    <s v="Finance and Administration : Asset Management"/>
    <s v="FX005002001000000000000000000000000"/>
    <s v="IA002015001018001001000000000000000000"/>
    <n v="1"/>
    <s v="08/04/2022"/>
    <d v="2022-04-08T00:00:00"/>
    <s v="NO"/>
    <s v="Yes"/>
    <d v="2023-03-31T00:00:00"/>
    <s v="NA - Actual Cost"/>
    <n v="6"/>
    <n v="0"/>
    <n v="0"/>
    <s v="No Change"/>
    <m/>
    <m/>
    <n v="3.021917808219178"/>
    <n v="0"/>
    <n v="3.021917808219178"/>
    <n v="2.021917808219178"/>
    <s v="2 - Good  (46-70%)"/>
    <m/>
    <s v="Actual Cost"/>
    <n v="18000"/>
    <m/>
    <m/>
    <m/>
    <m/>
    <n v="18000"/>
    <n v="9065.7534246575342"/>
    <n v="0"/>
    <m/>
    <m/>
    <n v="-8934.2465753424658"/>
    <m/>
    <s v="NO"/>
    <m/>
    <m/>
    <n v="-3000"/>
    <n v="-250"/>
    <m/>
    <s v="Straight line"/>
    <n v="0"/>
    <n v="-11934.246575342466"/>
    <m/>
    <m/>
    <m/>
    <m/>
    <n v="0"/>
    <n v="6065.7534246575342"/>
    <n v="-8934.2465753424658"/>
    <m/>
    <m/>
    <m/>
    <m/>
    <m/>
    <s v="S.Skenjana"/>
    <m/>
    <m/>
    <m/>
    <m/>
    <n v="0"/>
  </r>
  <r>
    <n v="1513"/>
    <n v="0"/>
    <s v="PPE"/>
    <x v="0"/>
    <s v="MOV"/>
    <x v="0"/>
    <s v="OTH"/>
    <x v="1"/>
    <s v="OTH"/>
    <s v="Other Assets"/>
    <s v="Main offices"/>
    <s v="Main offices"/>
    <s v="OTH"/>
    <s v="Cannon Camera"/>
    <s v="OTH"/>
    <m/>
    <s v="Cannon Camera"/>
    <s v="Cost Model"/>
    <s v="Owned"/>
    <s v="Core"/>
    <x v="0"/>
    <s v="Finance and Administration : Asset Management"/>
    <s v="FX005002001000000000000000000000000"/>
    <s v="IA002015001018001001000000000000000000"/>
    <n v="1"/>
    <s v="08/04/2022"/>
    <d v="2022-04-08T00:00:00"/>
    <s v="NO"/>
    <s v="Yes"/>
    <d v="2023-03-31T00:00:00"/>
    <s v="NA - Actual Cost"/>
    <n v="6"/>
    <n v="0"/>
    <n v="0"/>
    <s v="No Change"/>
    <m/>
    <m/>
    <n v="3.021917808219178"/>
    <n v="0"/>
    <n v="3.021917808219178"/>
    <n v="2.021917808219178"/>
    <n v="0"/>
    <m/>
    <s v="Actual Cost"/>
    <n v="28500"/>
    <m/>
    <m/>
    <m/>
    <m/>
    <n v="28500"/>
    <n v="14354.109589041094"/>
    <n v="0"/>
    <m/>
    <m/>
    <n v="-14145.890410958906"/>
    <m/>
    <s v="NO"/>
    <m/>
    <m/>
    <n v="-4750"/>
    <n v="-395.83333333333331"/>
    <m/>
    <s v="Straight line"/>
    <n v="0"/>
    <n v="-18895.890410958906"/>
    <m/>
    <m/>
    <m/>
    <m/>
    <n v="0"/>
    <n v="9604.1095890410943"/>
    <n v="-14145.890410958906"/>
    <m/>
    <m/>
    <m/>
    <m/>
    <m/>
    <n v="0"/>
    <m/>
    <m/>
    <m/>
    <m/>
    <n v="0"/>
  </r>
  <r>
    <n v="1683"/>
    <n v="0"/>
    <s v="PPE"/>
    <x v="0"/>
    <s v="MOV"/>
    <x v="0"/>
    <s v="OTH"/>
    <x v="1"/>
    <s v="OTH"/>
    <s v="Other Assets"/>
    <s v="Main offices"/>
    <s v="Main offices"/>
    <s v="OTH"/>
    <s v="Cannon Camera"/>
    <s v="OTH"/>
    <m/>
    <s v="Cannon Camera"/>
    <s v="Cost Model"/>
    <s v="Owned"/>
    <s v="Core"/>
    <x v="0"/>
    <s v="Finance and Administration : Asset Management"/>
    <s v="FX005002001000000000000000000000000"/>
    <s v="IA002015001018001001000000000000000000"/>
    <n v="1"/>
    <s v="08/04/2022"/>
    <d v="2022-04-08T00:00:00"/>
    <s v="NO"/>
    <s v="Yes"/>
    <d v="2023-03-31T00:00:00"/>
    <s v="NA - Actual Cost"/>
    <n v="6"/>
    <n v="0"/>
    <n v="0"/>
    <s v="No Change"/>
    <m/>
    <m/>
    <n v="3.021917808219178"/>
    <n v="0"/>
    <n v="3.021917808219178"/>
    <n v="2.021917808219178"/>
    <n v="0"/>
    <m/>
    <s v="Actual Cost"/>
    <n v="28500"/>
    <m/>
    <m/>
    <m/>
    <m/>
    <n v="28500"/>
    <n v="14354.109589041094"/>
    <n v="0"/>
    <m/>
    <m/>
    <n v="-14145.890410958906"/>
    <m/>
    <s v="NO"/>
    <m/>
    <m/>
    <n v="-4750"/>
    <n v="-395.83333333333331"/>
    <m/>
    <s v="Straight line"/>
    <n v="0"/>
    <n v="-18895.890410958906"/>
    <m/>
    <m/>
    <m/>
    <m/>
    <n v="0"/>
    <n v="9604.1095890410943"/>
    <n v="-14145.890410958906"/>
    <m/>
    <m/>
    <m/>
    <m/>
    <m/>
    <n v="0"/>
    <m/>
    <m/>
    <m/>
    <m/>
    <n v="0"/>
  </r>
  <r>
    <s v="NHC001546"/>
    <s v="Server room finance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s v="3 - Fair (26-45%)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s v="N.Gawula"/>
    <m/>
    <m/>
    <m/>
    <m/>
    <n v="0"/>
  </r>
  <r>
    <s v="NHC001512"/>
    <s v="R1 Open plan finance 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s v="2 - Good  (46-70%)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s v="D.T Mkhonto"/>
    <m/>
    <m/>
    <m/>
    <m/>
    <n v="0"/>
  </r>
  <r>
    <s v="NHC001552"/>
    <s v="Open plan co- business 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s v="3 - Fair (26-45%)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s v="G.Lekhonkhobe"/>
    <m/>
    <m/>
    <m/>
    <m/>
    <n v="0"/>
  </r>
  <r>
    <s v="NHC001548"/>
    <s v="Open Plan core business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s v="3 - Fair (26-45%)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s v="N. Maluleke"/>
    <m/>
    <m/>
    <m/>
    <m/>
    <n v="0"/>
  </r>
  <r>
    <s v="NHC001542"/>
    <s v="R27 Core business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s v="2 - Good  (46-70%)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s v="B. Magasela"/>
    <m/>
    <m/>
    <m/>
    <m/>
    <n v="0"/>
  </r>
  <r>
    <s v="NHC001587"/>
    <n v="0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n v="0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n v="0"/>
    <m/>
    <m/>
    <m/>
    <m/>
    <n v="0"/>
  </r>
  <r>
    <s v="NHC001596"/>
    <n v="0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n v="0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n v="0"/>
    <m/>
    <m/>
    <m/>
    <m/>
    <n v="0"/>
  </r>
  <r>
    <s v="NHC001589"/>
    <s v="R1 Open plan finance 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s v="2 - Good  (46-70%)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s v="S.Ndlovu"/>
    <m/>
    <m/>
    <m/>
    <m/>
    <n v="0"/>
  </r>
  <r>
    <s v="NHC001599"/>
    <s v="R12 Executive Offices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s v="4 - Poor (11-25%)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s v="C. GALLOWAY"/>
    <m/>
    <m/>
    <m/>
    <m/>
    <n v="0"/>
  </r>
  <r>
    <s v="NHC001576"/>
    <s v="Open plan co-business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s v="2 - Good  (46-70%)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s v="M.Maponya"/>
    <m/>
    <m/>
    <m/>
    <m/>
    <n v="0"/>
  </r>
  <r>
    <s v="NHC001547"/>
    <n v="0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n v="0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n v="0"/>
    <m/>
    <m/>
    <m/>
    <m/>
    <n v="0"/>
  </r>
  <r>
    <s v="NHC001549"/>
    <s v="Open plan co-Business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s v="3 - Fair (26-45%)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s v="KS. Mojapelo"/>
    <m/>
    <m/>
    <m/>
    <m/>
    <n v="0"/>
  </r>
  <r>
    <s v="NHC001588"/>
    <n v="0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n v="0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n v="0"/>
    <m/>
    <m/>
    <m/>
    <m/>
    <n v="0"/>
  </r>
  <r>
    <s v="NHC001541"/>
    <s v="R27 Core business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s v="3 - Fair (26-45%)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s v="G. Mathye"/>
    <m/>
    <m/>
    <m/>
    <m/>
    <n v="0"/>
  </r>
  <r>
    <s v="NHC001566"/>
    <s v="Open plan co-Business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s v="3 - Fair (26-45%)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s v="G. Mdluli"/>
    <m/>
    <m/>
    <m/>
    <m/>
    <n v="0"/>
  </r>
  <r>
    <s v="NHC001550"/>
    <n v="0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n v="0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n v="0"/>
    <m/>
    <m/>
    <m/>
    <m/>
    <n v="0"/>
  </r>
  <r>
    <s v="NHC001509"/>
    <n v="0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n v="0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n v="0"/>
    <m/>
    <m/>
    <m/>
    <m/>
    <n v="0"/>
  </r>
  <r>
    <s v="NHC001565"/>
    <n v="0"/>
    <s v="PPE"/>
    <x v="0"/>
    <s v="MOV"/>
    <x v="0"/>
    <s v="OTH"/>
    <x v="2"/>
    <s v="OTH"/>
    <s v="Other Assets"/>
    <s v="Main offices"/>
    <s v="Main offices"/>
    <s v="OTH"/>
    <s v="Laptop Dell Mobile Precision Workstation 3561 CTO (Motlatjo Ralefane)"/>
    <s v="OTH"/>
    <m/>
    <s v="Laptop Dell Mobile Precision Workstation 3561 CTO (Motlatjo Ralefane)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n v="0"/>
    <m/>
    <s v="Actual Cost"/>
    <n v="30852.01"/>
    <m/>
    <m/>
    <m/>
    <m/>
    <n v="30852.01"/>
    <n v="3888.1985205479468"/>
    <n v="0"/>
    <m/>
    <m/>
    <n v="-26963.811479452052"/>
    <m/>
    <s v="NO"/>
    <m/>
    <m/>
    <n v="-10284.003333333338"/>
    <n v="-857.00027777777814"/>
    <m/>
    <s v="Straight line"/>
    <n v="0"/>
    <n v="-37247.814812785393"/>
    <m/>
    <m/>
    <m/>
    <m/>
    <n v="0"/>
    <n v="-6395.8048127853945"/>
    <n v="-26963.811479452052"/>
    <m/>
    <m/>
    <m/>
    <m/>
    <m/>
    <n v="0"/>
    <m/>
    <m/>
    <m/>
    <m/>
    <n v="0"/>
  </r>
  <r>
    <s v="NHC001514"/>
    <n v="0"/>
    <s v="PPE"/>
    <x v="0"/>
    <s v="MOV"/>
    <x v="0"/>
    <s v="OTH"/>
    <x v="2"/>
    <s v="OTH"/>
    <s v="Other Assets"/>
    <s v="Main offices"/>
    <s v="Main offices"/>
    <s v="OTH"/>
    <s v="Laptop Dell Mobile Precision Workstation 3561 CTO"/>
    <s v="OTH"/>
    <m/>
    <s v="Laptop Dell Mobile Precision Workstation 3561 CTO"/>
    <s v="Cost Model"/>
    <s v="Owned"/>
    <s v="Core"/>
    <x v="0"/>
    <s v="Finance and Administration : Asset Management"/>
    <s v="FX005002001000000000000000000000000"/>
    <s v="IA002015001018001001000000000000000000"/>
    <n v="1"/>
    <s v="16/08/2022"/>
    <d v="2022-08-16T00:00:00"/>
    <s v="NO"/>
    <s v="Yes"/>
    <d v="2023-03-31T00:00:00"/>
    <s v="NA - Actual Cost"/>
    <n v="3"/>
    <n v="0"/>
    <n v="0"/>
    <s v="No Change"/>
    <m/>
    <m/>
    <n v="0.37808219178082192"/>
    <n v="0"/>
    <n v="0.37808219178082192"/>
    <n v="-0.62191780821917808"/>
    <n v="0"/>
    <m/>
    <s v="Actual Cost"/>
    <n v="27181.49"/>
    <m/>
    <m/>
    <m/>
    <m/>
    <n v="27181.49"/>
    <n v="3425.6124383561655"/>
    <n v="0"/>
    <m/>
    <m/>
    <n v="-23755.877561643836"/>
    <m/>
    <s v="NO"/>
    <m/>
    <m/>
    <n v="-9060.4966666666696"/>
    <n v="-755.04138888888917"/>
    <m/>
    <s v="Straight line"/>
    <n v="0"/>
    <n v="-32816.374228310509"/>
    <m/>
    <m/>
    <m/>
    <m/>
    <n v="0"/>
    <n v="-5634.8842283105078"/>
    <n v="-23755.877561643836"/>
    <m/>
    <m/>
    <m/>
    <m/>
    <m/>
    <n v="0"/>
    <m/>
    <m/>
    <m/>
    <m/>
    <n v="0"/>
  </r>
  <r>
    <n v="1569"/>
    <s v="Open plan finance"/>
    <s v="PPE"/>
    <x v="0"/>
    <s v="MOV"/>
    <x v="0"/>
    <s v="OTH"/>
    <x v="2"/>
    <s v="OTH"/>
    <s v="Other Assets"/>
    <s v="Main offices"/>
    <s v="Main offices"/>
    <s v="OTH"/>
    <s v="Samsung Tab S8 Ultra 14.6 5G Grey"/>
    <s v="OTH"/>
    <m/>
    <s v="Samsung Tab S8 Ultra 14.6 5G Grey"/>
    <s v="Cost Model"/>
    <s v="Owned"/>
    <s v="Core"/>
    <x v="0"/>
    <s v="Finance and Administration : Asset Management"/>
    <s v="FX005002001000000000000000000000000"/>
    <s v="IA002015001018001001000000000000000000"/>
    <n v="1"/>
    <s v="03/11/2022"/>
    <d v="2022-11-03T00:00:00"/>
    <s v="NO"/>
    <s v="Yes"/>
    <d v="2023-03-31T00:00:00"/>
    <s v="NA - Actual Cost"/>
    <n v="6"/>
    <n v="0"/>
    <n v="0"/>
    <s v="No Change"/>
    <m/>
    <m/>
    <n v="3.5945205479452058"/>
    <n v="0"/>
    <n v="3.5945205479452058"/>
    <n v="2.5945205479452058"/>
    <s v="3 - Fair (26-45%)"/>
    <m/>
    <s v="Actual Cost"/>
    <n v="23099"/>
    <m/>
    <m/>
    <m/>
    <m/>
    <n v="23099"/>
    <n v="4499.5500000000011"/>
    <n v="0"/>
    <m/>
    <m/>
    <n v="-9260.6949771689488"/>
    <m/>
    <s v="NO"/>
    <m/>
    <m/>
    <n v="-1251.7802972560978"/>
    <n v="-104.31502477134148"/>
    <m/>
    <s v="Straight line"/>
    <n v="0"/>
    <n v="-10512.475274425047"/>
    <n v="-9338.7550228310502"/>
    <n v="0"/>
    <m/>
    <m/>
    <n v="-9338.7550228310502"/>
    <n v="3247.7697027439026"/>
    <n v="-9260.6949771689488"/>
    <m/>
    <m/>
    <m/>
    <m/>
    <m/>
    <s v="S. Skenjana"/>
    <m/>
    <m/>
    <m/>
    <m/>
    <n v="0"/>
  </r>
  <r>
    <n v="1713"/>
    <n v="0"/>
    <s v="PPE"/>
    <x v="0"/>
    <s v="MOV"/>
    <x v="0"/>
    <s v="OTH"/>
    <x v="2"/>
    <s v="OTH"/>
    <s v="Other Assets"/>
    <s v="Main offices"/>
    <s v="Main offices"/>
    <s v="OTH"/>
    <s v="Biometric Devices - Server Room"/>
    <s v="OTH"/>
    <m/>
    <s v="Biometric Devices - Server Room"/>
    <s v="Cost Model"/>
    <s v="Owned"/>
    <s v="Core"/>
    <x v="0"/>
    <s v="Finance and Administration : Asset Management"/>
    <s v="FX005002001000000000000000000000000"/>
    <s v="IA002015001018001001000000000000000000"/>
    <n v="1"/>
    <s v="18/05/2023"/>
    <d v="2023-05-18T00:00:00"/>
    <s v="NO"/>
    <s v="Yes"/>
    <d v="2024-03-31T00:00:00"/>
    <s v="NA - Actual Cost"/>
    <n v="5"/>
    <n v="0"/>
    <n v="0"/>
    <s v="No Change"/>
    <m/>
    <m/>
    <n v="3.1287671232876715"/>
    <n v="0"/>
    <n v="3.1287671232876715"/>
    <n v="2.1287671232876715"/>
    <n v="0"/>
    <m/>
    <s v="Actual Cost"/>
    <n v="58000"/>
    <m/>
    <m/>
    <m/>
    <m/>
    <n v="58000"/>
    <n v="36293.698630136991"/>
    <n v="0"/>
    <m/>
    <m/>
    <n v="-21706.301369863013"/>
    <m/>
    <s v="NO"/>
    <m/>
    <m/>
    <n v="-11600"/>
    <n v="-966.66666666666663"/>
    <m/>
    <s v="Straight line"/>
    <n v="0"/>
    <n v="-33306.301369863009"/>
    <m/>
    <m/>
    <m/>
    <m/>
    <n v="0"/>
    <n v="24693.698630136991"/>
    <n v="-21706.301369863013"/>
    <m/>
    <m/>
    <m/>
    <m/>
    <m/>
    <n v="0"/>
    <m/>
    <m/>
    <m/>
    <m/>
    <n v="0"/>
  </r>
  <r>
    <n v="1714"/>
    <n v="0"/>
    <s v="PPE"/>
    <x v="0"/>
    <s v="MOV"/>
    <x v="0"/>
    <s v="OTH"/>
    <x v="2"/>
    <s v="OTH"/>
    <s v="Other Assets"/>
    <s v="Main offices"/>
    <s v="Main offices"/>
    <s v="OTH"/>
    <s v="Lenovo Thinking Pad - Not yet allocated - August 23"/>
    <s v="OTH"/>
    <m/>
    <s v="Lenovo Thinking Pad - Not yet allocated - August 23"/>
    <s v="Cost Model"/>
    <s v="Owned"/>
    <s v="Core"/>
    <x v="0"/>
    <s v="Finance and Administration : Asset Management"/>
    <s v="FX005002001000000000000000000000000"/>
    <s v="IA002015001018001001000000000000000000"/>
    <n v="1"/>
    <s v="13/07/2023"/>
    <d v="2023-07-13T00:00:00"/>
    <s v="NO"/>
    <s v="Yes"/>
    <d v="2024-03-31T00:00:00"/>
    <s v="NA - Actual Cost"/>
    <n v="5"/>
    <n v="0"/>
    <n v="0"/>
    <s v="No Change"/>
    <m/>
    <m/>
    <n v="3.2821917808219174"/>
    <n v="0"/>
    <n v="3.2821917808219174"/>
    <n v="2.2821917808219174"/>
    <n v="0"/>
    <m/>
    <s v="Actual Cost"/>
    <n v="42973.2"/>
    <m/>
    <m/>
    <m/>
    <m/>
    <n v="42973.2"/>
    <n v="28209.256767123286"/>
    <n v="0"/>
    <m/>
    <m/>
    <n v="-14763.943232876711"/>
    <m/>
    <s v="NO"/>
    <m/>
    <m/>
    <n v="-8594.6400000000012"/>
    <n v="-716.22000000000014"/>
    <m/>
    <s v="Straight line"/>
    <n v="0"/>
    <n v="-23358.583232876714"/>
    <m/>
    <m/>
    <m/>
    <m/>
    <n v="0"/>
    <n v="19614.616767123283"/>
    <n v="-14763.943232876711"/>
    <m/>
    <m/>
    <m/>
    <m/>
    <m/>
    <n v="0"/>
    <m/>
    <m/>
    <m/>
    <m/>
    <n v="0"/>
  </r>
  <r>
    <n v="1747"/>
    <n v="0"/>
    <s v="PPE"/>
    <x v="0"/>
    <s v="MOV"/>
    <x v="0"/>
    <s v="OTH"/>
    <x v="2"/>
    <s v="OTH"/>
    <s v="Other Assets"/>
    <s v="Main offices"/>
    <s v="Main offices"/>
    <s v="OTH"/>
    <s v="Lenovo Thinking Pad"/>
    <s v="OTH"/>
    <m/>
    <s v="Lenovo Thinking Pad"/>
    <s v="Cost Model"/>
    <s v="Owned"/>
    <s v="Core"/>
    <x v="0"/>
    <s v="Finance and Administration : Asset Management"/>
    <s v="FX005002001000000000000000000000000"/>
    <s v="IA002015001018001001000000000000000000"/>
    <n v="1"/>
    <s v="13/07/2023"/>
    <d v="2023-07-13T00:00:00"/>
    <s v="NO"/>
    <s v="Yes"/>
    <d v="2024-03-31T00:00:00"/>
    <s v="NA - Actual Cost"/>
    <n v="5"/>
    <n v="0"/>
    <n v="0"/>
    <s v="No Change"/>
    <m/>
    <m/>
    <n v="3.2821917808219174"/>
    <n v="0"/>
    <n v="3.2821917808219174"/>
    <n v="2.2821917808219174"/>
    <n v="0"/>
    <m/>
    <s v="Actual Cost"/>
    <n v="42973.2"/>
    <m/>
    <m/>
    <m/>
    <m/>
    <n v="42973.2"/>
    <n v="28209.256767123286"/>
    <n v="0"/>
    <m/>
    <m/>
    <n v="-14763.943232876711"/>
    <m/>
    <s v="NO"/>
    <m/>
    <m/>
    <n v="-8594.6400000000012"/>
    <n v="-716.22000000000014"/>
    <m/>
    <s v="Straight line"/>
    <n v="0"/>
    <n v="-23358.583232876714"/>
    <m/>
    <m/>
    <m/>
    <m/>
    <n v="0"/>
    <n v="19614.616767123283"/>
    <n v="-14763.943232876711"/>
    <m/>
    <m/>
    <m/>
    <m/>
    <m/>
    <n v="0"/>
    <m/>
    <m/>
    <m/>
    <m/>
    <n v="0"/>
  </r>
  <r>
    <n v="1764"/>
    <s v="Open plan Risk "/>
    <s v="PPE"/>
    <x v="0"/>
    <s v="MOV"/>
    <x v="0"/>
    <s v="OTH"/>
    <x v="2"/>
    <s v="OTH"/>
    <s v="Other Assets"/>
    <s v="Main offices"/>
    <s v="Main offices"/>
    <s v="OTH"/>
    <s v="Lenovo Thinking Pad"/>
    <s v="OTH"/>
    <m/>
    <s v="Lenovo Thinking Pad"/>
    <s v="Cost Model"/>
    <s v="Owned"/>
    <s v="Core"/>
    <x v="0"/>
    <s v="Finance and Administration : Asset Management"/>
    <s v="FX005002001000000000000000000000000"/>
    <s v="IA002015001018001001000000000000000000"/>
    <n v="1"/>
    <s v="13/07/2023"/>
    <d v="2023-07-13T00:00:00"/>
    <s v="NO"/>
    <s v="Yes"/>
    <d v="2024-03-31T00:00:00"/>
    <s v="NA - Actual Cost"/>
    <n v="5"/>
    <n v="0"/>
    <n v="0"/>
    <s v="No Change"/>
    <m/>
    <m/>
    <n v="3.2821917808219174"/>
    <n v="0"/>
    <n v="3.2821917808219174"/>
    <n v="2.2821917808219174"/>
    <s v="2 - Good  (46-70%)"/>
    <m/>
    <s v="Actual Cost"/>
    <n v="42973.2"/>
    <m/>
    <m/>
    <m/>
    <m/>
    <n v="42973.2"/>
    <n v="28209.256767123286"/>
    <n v="0"/>
    <m/>
    <m/>
    <n v="-14763.943232876711"/>
    <m/>
    <s v="NO"/>
    <m/>
    <m/>
    <n v="-8594.6400000000012"/>
    <n v="-716.22000000000014"/>
    <m/>
    <s v="Straight line"/>
    <n v="0"/>
    <n v="-23358.583232876714"/>
    <m/>
    <m/>
    <m/>
    <m/>
    <n v="0"/>
    <n v="19614.616767123283"/>
    <n v="-14763.943232876711"/>
    <m/>
    <m/>
    <m/>
    <m/>
    <m/>
    <s v="A.Mbuli"/>
    <m/>
    <m/>
    <m/>
    <m/>
    <n v="0"/>
  </r>
  <r>
    <n v="1789"/>
    <s v="R18"/>
    <s v="PPE"/>
    <x v="0"/>
    <s v="MOV"/>
    <x v="0"/>
    <s v="OTH"/>
    <x v="2"/>
    <s v="OTH"/>
    <s v="Other Assets"/>
    <s v="Main offices"/>
    <s v="Main offices"/>
    <s v="OTH"/>
    <s v="Lenovo Thinking Pad - Palesa"/>
    <s v="OTH"/>
    <m/>
    <s v="Lenovo Thinking Pad - Palesa"/>
    <s v="Cost Model"/>
    <s v="Owned"/>
    <s v="Core"/>
    <x v="0"/>
    <s v="Finance and Administration : Asset Management"/>
    <s v="FX005002001000000000000000000000000"/>
    <s v="IA002015001018001001000000000000000000"/>
    <n v="1"/>
    <s v="13/07/2023"/>
    <d v="2023-07-13T00:00:00"/>
    <s v="NO"/>
    <s v="Yes"/>
    <d v="2024-03-31T00:00:00"/>
    <s v="NA - Actual Cost"/>
    <n v="5"/>
    <n v="0"/>
    <n v="0"/>
    <s v="No Change"/>
    <m/>
    <m/>
    <n v="3.2821917808219174"/>
    <n v="0"/>
    <n v="3.2821917808219174"/>
    <n v="2.2821917808219174"/>
    <s v="2 - Good  (46-70%)"/>
    <m/>
    <s v="Actual Cost"/>
    <n v="42973.2"/>
    <m/>
    <m/>
    <m/>
    <m/>
    <n v="42973.2"/>
    <n v="28209.256767123286"/>
    <n v="0"/>
    <m/>
    <m/>
    <n v="-14763.943232876711"/>
    <m/>
    <s v="NO"/>
    <m/>
    <m/>
    <n v="-8594.6400000000012"/>
    <n v="-716.22000000000014"/>
    <m/>
    <s v="Straight line"/>
    <n v="0"/>
    <n v="-23358.583232876714"/>
    <m/>
    <m/>
    <m/>
    <m/>
    <n v="0"/>
    <n v="19614.616767123283"/>
    <n v="-14763.943232876711"/>
    <m/>
    <m/>
    <m/>
    <m/>
    <m/>
    <s v="P. Kadi"/>
    <m/>
    <m/>
    <m/>
    <m/>
    <n v="0"/>
  </r>
  <r>
    <n v="1790"/>
    <n v="0"/>
    <s v="PPE"/>
    <x v="0"/>
    <s v="MOV"/>
    <x v="0"/>
    <s v="OTH"/>
    <x v="2"/>
    <s v="OTH"/>
    <s v="Other Assets"/>
    <s v="Main offices"/>
    <s v="Main offices"/>
    <s v="OTH"/>
    <s v="Lenovo Thinking Pad - Mbalenhle"/>
    <s v="OTH"/>
    <m/>
    <s v="Lenovo Thinking Pad - Mbalenhle"/>
    <s v="Cost Model"/>
    <s v="Owned"/>
    <s v="Core"/>
    <x v="0"/>
    <s v="Finance and Administration : Asset Management"/>
    <s v="FX005002001000000000000000000000000"/>
    <s v="IA002015001018001001000000000000000000"/>
    <n v="1"/>
    <s v="13/07/2023"/>
    <d v="2023-07-13T00:00:00"/>
    <s v="NO"/>
    <s v="Yes"/>
    <d v="2024-03-31T00:00:00"/>
    <s v="NA - Actual Cost"/>
    <n v="5"/>
    <n v="0"/>
    <n v="0"/>
    <s v="No Change"/>
    <m/>
    <m/>
    <n v="3.2821917808219174"/>
    <n v="0"/>
    <n v="3.2821917808219174"/>
    <n v="2.2821917808219174"/>
    <n v="0"/>
    <m/>
    <s v="Actual Cost"/>
    <n v="42973.2"/>
    <m/>
    <m/>
    <m/>
    <m/>
    <n v="42973.2"/>
    <n v="28209.256767123286"/>
    <n v="0"/>
    <m/>
    <m/>
    <n v="-14763.943232876711"/>
    <m/>
    <s v="NO"/>
    <m/>
    <m/>
    <n v="-8594.6400000000012"/>
    <n v="-716.22000000000014"/>
    <m/>
    <s v="Straight line"/>
    <n v="0"/>
    <n v="-23358.583232876714"/>
    <m/>
    <m/>
    <m/>
    <m/>
    <n v="0"/>
    <n v="19614.616767123283"/>
    <n v="-14763.943232876711"/>
    <m/>
    <m/>
    <m/>
    <m/>
    <m/>
    <n v="0"/>
    <m/>
    <m/>
    <m/>
    <m/>
    <n v="0"/>
  </r>
  <r>
    <n v="1792"/>
    <n v="0"/>
    <s v="PPE"/>
    <x v="0"/>
    <s v="MOV"/>
    <x v="0"/>
    <s v="OTH"/>
    <x v="2"/>
    <s v="OTH"/>
    <s v="Other Assets"/>
    <s v="Main offices"/>
    <s v="Main offices"/>
    <s v="OTH"/>
    <s v="Lenovo Thinking Pad - Tshehlane"/>
    <s v="OTH"/>
    <m/>
    <s v="Lenovo Thinking Pad - Tshehlane"/>
    <s v="Cost Model"/>
    <s v="Owned"/>
    <s v="Core"/>
    <x v="0"/>
    <s v="Finance and Administration : Asset Management"/>
    <s v="FX005002001000000000000000000000000"/>
    <s v="IA002015001018001001000000000000000000"/>
    <n v="1"/>
    <s v="13/07/2023"/>
    <d v="2023-07-13T00:00:00"/>
    <s v="NO"/>
    <s v="Yes"/>
    <d v="2024-03-31T00:00:00"/>
    <s v="NA - Actual Cost"/>
    <n v="5"/>
    <n v="0"/>
    <n v="0"/>
    <s v="No Change"/>
    <m/>
    <m/>
    <n v="3.2821917808219174"/>
    <n v="0"/>
    <n v="3.2821917808219174"/>
    <n v="2.2821917808219174"/>
    <n v="0"/>
    <m/>
    <s v="Actual Cost"/>
    <n v="42973.2"/>
    <m/>
    <m/>
    <m/>
    <m/>
    <n v="42973.2"/>
    <n v="28209.256767123286"/>
    <n v="0"/>
    <m/>
    <m/>
    <n v="-14763.943232876711"/>
    <m/>
    <s v="NO"/>
    <m/>
    <m/>
    <n v="-8594.6400000000012"/>
    <n v="-716.22000000000014"/>
    <m/>
    <s v="Straight line"/>
    <n v="0"/>
    <n v="-23358.583232876714"/>
    <m/>
    <m/>
    <m/>
    <m/>
    <n v="0"/>
    <n v="19614.616767123283"/>
    <n v="-14763.943232876711"/>
    <m/>
    <m/>
    <m/>
    <m/>
    <m/>
    <n v="0"/>
    <m/>
    <m/>
    <m/>
    <m/>
    <n v="0"/>
  </r>
  <r>
    <n v="1795"/>
    <s v="Councilor "/>
    <s v="PPE"/>
    <x v="0"/>
    <s v="MOV"/>
    <x v="0"/>
    <s v="OTH"/>
    <x v="2"/>
    <s v="OTH"/>
    <s v="Other Assets"/>
    <s v="Main offices"/>
    <s v="Main offices"/>
    <s v="OTH"/>
    <s v="Lenovo Thinking Pad - Adv Ralefatane"/>
    <s v="OTH"/>
    <m/>
    <s v="Lenovo Thinking Pad - Adv Ralefatane"/>
    <s v="Cost Model"/>
    <s v="Owned"/>
    <s v="Core"/>
    <x v="0"/>
    <s v="Finance and Administration : Asset Management"/>
    <s v="FX005002001000000000000000000000000"/>
    <s v="IA002015001018001001000000000000000000"/>
    <n v="1"/>
    <s v="13/07/2023"/>
    <d v="2023-07-13T00:00:00"/>
    <s v="NO"/>
    <s v="Yes"/>
    <d v="2024-03-31T00:00:00"/>
    <s v="NA - Actual Cost"/>
    <n v="5"/>
    <n v="0"/>
    <n v="0"/>
    <s v="No Change"/>
    <m/>
    <m/>
    <n v="3.2821917808219174"/>
    <n v="0"/>
    <n v="3.2821917808219174"/>
    <n v="2.2821917808219174"/>
    <s v="2 - Good  (46-70%)"/>
    <m/>
    <s v="Actual Cost"/>
    <n v="42973.2"/>
    <m/>
    <m/>
    <m/>
    <m/>
    <n v="42973.2"/>
    <n v="28209.256767123286"/>
    <n v="0"/>
    <m/>
    <m/>
    <n v="-14763.943232876711"/>
    <m/>
    <s v="NO"/>
    <m/>
    <m/>
    <n v="-8594.6400000000012"/>
    <n v="-716.22000000000014"/>
    <m/>
    <s v="Straight line"/>
    <n v="0"/>
    <n v="-23358.583232876714"/>
    <m/>
    <m/>
    <m/>
    <m/>
    <n v="0"/>
    <n v="19614.616767123283"/>
    <n v="-14763.943232876711"/>
    <m/>
    <m/>
    <m/>
    <m/>
    <m/>
    <s v="MJ. Ralefatane"/>
    <m/>
    <m/>
    <m/>
    <m/>
    <n v="0"/>
  </r>
  <r>
    <n v="1943"/>
    <s v="R13"/>
    <s v="PPE"/>
    <x v="0"/>
    <s v="MOV"/>
    <x v="0"/>
    <s v="OTH"/>
    <x v="2"/>
    <s v="OTH"/>
    <s v="Other Assets"/>
    <s v="Main offices"/>
    <s v="Main offices"/>
    <s v="OTH"/>
    <s v="Lenovo Laptop - Dr Manetsi"/>
    <s v="OTH"/>
    <m/>
    <s v="Lenovo Laptop - Dr Manetsi"/>
    <s v="Cost Model"/>
    <s v="Owned"/>
    <s v="Core"/>
    <x v="0"/>
    <s v="Finance and Administration : Asset Management"/>
    <s v="FX005002001000000000000000000000000"/>
    <s v="IA002015001018001001000000000000000000"/>
    <n v="1"/>
    <s v="28/03/2024"/>
    <d v="2024-03-28T00:00:00"/>
    <s v="NO"/>
    <s v="Yes"/>
    <d v="2024-03-31T00:00:00"/>
    <s v="NA - Actual Cost"/>
    <n v="5"/>
    <n v="0"/>
    <n v="0"/>
    <s v="No Change"/>
    <m/>
    <m/>
    <n v="3.9917808219178079"/>
    <n v="0"/>
    <n v="3.9917808219178079"/>
    <n v="2.9917808219178079"/>
    <s v="2 - Good  (46-70%)"/>
    <m/>
    <s v="Actual Cost"/>
    <n v="23000"/>
    <m/>
    <m/>
    <m/>
    <m/>
    <n v="23000"/>
    <n v="18362.191780821919"/>
    <n v="0"/>
    <m/>
    <m/>
    <n v="-4637.8082191780823"/>
    <m/>
    <s v="NO"/>
    <m/>
    <m/>
    <n v="-4600.0000000000009"/>
    <n v="-383.33333333333343"/>
    <m/>
    <s v="Straight line"/>
    <n v="0"/>
    <n v="-9237.8082191780832"/>
    <m/>
    <m/>
    <m/>
    <m/>
    <n v="0"/>
    <n v="13762.191780821917"/>
    <n v="-4637.8082191780823"/>
    <m/>
    <m/>
    <m/>
    <m/>
    <m/>
    <s v="Dr Manetsi"/>
    <m/>
    <m/>
    <m/>
    <m/>
    <n v="0"/>
  </r>
  <r>
    <n v="1949"/>
    <s v="Open plan co- business "/>
    <s v="PPE"/>
    <x v="0"/>
    <s v="MOV"/>
    <x v="0"/>
    <s v="OTH"/>
    <x v="2"/>
    <s v="OTH"/>
    <s v="Other Assets"/>
    <s v="Main offices"/>
    <s v="Main offices"/>
    <s v="OTH"/>
    <s v="Lenovo Laptop - Matanato Ngwaila"/>
    <s v="OTH"/>
    <m/>
    <s v="Lenovo Laptop - Matanato Ngwaila"/>
    <s v="Cost Model"/>
    <s v="Owned"/>
    <s v="Core"/>
    <x v="0"/>
    <s v="Finance and Administration : Asset Management"/>
    <s v="FX005002001000000000000000000000000"/>
    <s v="IA002015001018001001000000000000000000"/>
    <n v="1"/>
    <s v="28/03/2024"/>
    <d v="2024-03-28T00:00:00"/>
    <s v="NO"/>
    <s v="Yes"/>
    <d v="2024-03-31T00:00:00"/>
    <s v="NA - Actual Cost"/>
    <n v="5"/>
    <n v="0"/>
    <n v="0"/>
    <s v="No Change"/>
    <m/>
    <m/>
    <n v="3.9917808219178079"/>
    <n v="0"/>
    <n v="3.9917808219178079"/>
    <n v="2.9917808219178079"/>
    <s v="2 - Good  (46-70%)"/>
    <m/>
    <s v="Actual Cost"/>
    <n v="23000"/>
    <m/>
    <m/>
    <m/>
    <m/>
    <n v="23000"/>
    <n v="18362.191780821919"/>
    <n v="0"/>
    <m/>
    <m/>
    <n v="-4637.8082191780823"/>
    <m/>
    <s v="NO"/>
    <m/>
    <m/>
    <n v="-4600.0000000000009"/>
    <n v="-383.33333333333343"/>
    <m/>
    <s v="Straight line"/>
    <n v="0"/>
    <n v="-9237.8082191780832"/>
    <m/>
    <m/>
    <m/>
    <m/>
    <n v="0"/>
    <n v="13762.191780821917"/>
    <n v="-4637.8082191780823"/>
    <m/>
    <m/>
    <m/>
    <m/>
    <m/>
    <s v="T.Mpahlele"/>
    <m/>
    <m/>
    <m/>
    <m/>
    <n v="0"/>
  </r>
  <r>
    <n v="1951"/>
    <s v="R13"/>
    <s v="PPE"/>
    <x v="0"/>
    <s v="MOV"/>
    <x v="0"/>
    <s v="OTH"/>
    <x v="2"/>
    <s v="OTH"/>
    <s v="Other Assets"/>
    <s v="Main offices"/>
    <s v="Main offices"/>
    <s v="OTH"/>
    <s v="Lenovo Laptop - T. Manetsi"/>
    <s v="OTH"/>
    <m/>
    <s v="Lenovo Laptop - T. Manetsi"/>
    <s v="Cost Model"/>
    <s v="Owned"/>
    <s v="Core"/>
    <x v="0"/>
    <s v="Finance and Administration : Asset Management"/>
    <s v="FX005002001000000000000000000000000"/>
    <s v="IA002015001018001001000000000000000000"/>
    <n v="1"/>
    <s v="28/03/2024"/>
    <d v="2024-03-28T00:00:00"/>
    <s v="NO"/>
    <s v="Yes"/>
    <d v="2024-03-31T00:00:00"/>
    <s v="NA - Actual Cost"/>
    <n v="5"/>
    <n v="0"/>
    <n v="0"/>
    <s v="No Change"/>
    <m/>
    <m/>
    <n v="3.9917808219178079"/>
    <n v="0"/>
    <n v="3.9917808219178079"/>
    <n v="2.9917808219178079"/>
    <s v="2 - Good  (46-70%)"/>
    <m/>
    <s v="Actual Cost"/>
    <n v="23000"/>
    <m/>
    <m/>
    <m/>
    <m/>
    <n v="23000"/>
    <n v="18362.191780821919"/>
    <n v="0"/>
    <m/>
    <m/>
    <n v="-4637.8082191780823"/>
    <m/>
    <s v="NO"/>
    <m/>
    <m/>
    <n v="-4600.0000000000009"/>
    <n v="-383.33333333333343"/>
    <m/>
    <s v="Straight line"/>
    <n v="0"/>
    <n v="-9237.8082191780832"/>
    <m/>
    <m/>
    <m/>
    <m/>
    <n v="0"/>
    <n v="13762.191780821917"/>
    <n v="-4637.8082191780823"/>
    <m/>
    <m/>
    <m/>
    <m/>
    <m/>
    <s v="T. Manetsi"/>
    <m/>
    <m/>
    <m/>
    <m/>
    <n v="0"/>
  </r>
  <r>
    <n v="1952"/>
    <s v="Open Plan finance "/>
    <s v="PPE"/>
    <x v="0"/>
    <s v="MOV"/>
    <x v="0"/>
    <s v="OTH"/>
    <x v="2"/>
    <s v="OTH"/>
    <s v="Other Assets"/>
    <s v="Main offices"/>
    <s v="Main offices"/>
    <s v="OTH"/>
    <s v="Lenovo Laptop - Bongeka Buthelezi"/>
    <s v="OTH"/>
    <m/>
    <s v="Lenovo Laptop - Bongeka Buthelezi"/>
    <s v="Cost Model"/>
    <s v="Owned"/>
    <s v="Core"/>
    <x v="0"/>
    <s v="Finance and Administration : Asset Management"/>
    <s v="FX005002001000000000000000000000000"/>
    <s v="IA002015001018001001000000000000000000"/>
    <n v="1"/>
    <s v="28/03/2024"/>
    <d v="2024-03-28T00:00:00"/>
    <s v="NO"/>
    <s v="Yes"/>
    <d v="2024-03-31T00:00:00"/>
    <s v="NA - Actual Cost"/>
    <n v="5"/>
    <n v="0"/>
    <n v="0"/>
    <s v="No Change"/>
    <m/>
    <m/>
    <n v="3.9917808219178079"/>
    <n v="0"/>
    <n v="3.9917808219178079"/>
    <n v="2.9917808219178079"/>
    <s v="2 - Good  (46-70%)"/>
    <m/>
    <s v="Actual Cost"/>
    <n v="23000"/>
    <m/>
    <m/>
    <m/>
    <m/>
    <n v="23000"/>
    <n v="18362.191780821919"/>
    <n v="0"/>
    <m/>
    <m/>
    <n v="-4637.8082191780823"/>
    <m/>
    <s v="NO"/>
    <m/>
    <m/>
    <n v="-4600.0000000000009"/>
    <n v="-383.33333333333343"/>
    <m/>
    <s v="Straight line"/>
    <n v="0"/>
    <n v="-9237.8082191780832"/>
    <m/>
    <m/>
    <m/>
    <m/>
    <n v="0"/>
    <n v="13762.191780821917"/>
    <n v="-4637.8082191780823"/>
    <m/>
    <m/>
    <m/>
    <m/>
    <m/>
    <s v="B. Bhuthelezi"/>
    <m/>
    <m/>
    <m/>
    <m/>
    <n v="0"/>
  </r>
  <r>
    <n v="1953"/>
    <n v="0"/>
    <s v="PPE"/>
    <x v="0"/>
    <s v="MOV"/>
    <x v="0"/>
    <s v="OTH"/>
    <x v="2"/>
    <s v="OTH"/>
    <s v="Other Assets"/>
    <s v="Main offices"/>
    <s v="Main offices"/>
    <s v="OTH"/>
    <s v="Lenovo Laptop - Salome Sithole"/>
    <s v="OTH"/>
    <m/>
    <s v="Lenovo Laptop - Salome Sithole"/>
    <s v="Cost Model"/>
    <s v="Owned"/>
    <s v="Core"/>
    <x v="0"/>
    <s v="Finance and Administration : Asset Management"/>
    <s v="FX005002001000000000000000000000000"/>
    <s v="IA002015001018001001000000000000000000"/>
    <n v="1"/>
    <s v="28/03/2024"/>
    <d v="2024-03-28T00:00:00"/>
    <s v="NO"/>
    <s v="Yes"/>
    <d v="2024-03-31T00:00:00"/>
    <s v="NA - Actual Cost"/>
    <n v="5"/>
    <n v="0"/>
    <n v="0"/>
    <s v="No Change"/>
    <m/>
    <m/>
    <n v="3.9917808219178079"/>
    <n v="0"/>
    <n v="3.9917808219178079"/>
    <n v="2.9917808219178079"/>
    <n v="0"/>
    <m/>
    <s v="Actual Cost"/>
    <n v="23000"/>
    <m/>
    <m/>
    <m/>
    <m/>
    <n v="23000"/>
    <n v="18362.191780821919"/>
    <n v="0"/>
    <m/>
    <m/>
    <n v="-4637.8082191780823"/>
    <m/>
    <s v="NO"/>
    <m/>
    <m/>
    <n v="-4600.0000000000009"/>
    <n v="-383.33333333333343"/>
    <m/>
    <s v="Straight line"/>
    <n v="0"/>
    <n v="-9237.8082191780832"/>
    <m/>
    <m/>
    <m/>
    <m/>
    <n v="0"/>
    <n v="13762.191780821917"/>
    <n v="-4637.8082191780823"/>
    <m/>
    <m/>
    <m/>
    <m/>
    <m/>
    <n v="0"/>
    <m/>
    <m/>
    <m/>
    <m/>
    <n v="0"/>
  </r>
  <r>
    <n v="1962"/>
    <s v="R22"/>
    <s v="PPE"/>
    <x v="0"/>
    <s v="MOV"/>
    <x v="0"/>
    <s v="OTH"/>
    <x v="2"/>
    <s v="OTH"/>
    <s v="Other Assets"/>
    <s v="Main offices"/>
    <s v="Main offices"/>
    <s v="OTH"/>
    <s v="Lenovo Laptop - Unassigned"/>
    <s v="OTH"/>
    <m/>
    <s v="Lenovo Laptop - Unassigned"/>
    <s v="Cost Model"/>
    <s v="Owned"/>
    <s v="Core"/>
    <x v="0"/>
    <s v="Finance and Administration : Asset Management"/>
    <s v="FX005002001000000000000000000000000"/>
    <s v="IA002015001018001001000000000000000000"/>
    <n v="1"/>
    <s v="28/03/2024"/>
    <d v="2024-03-28T00:00:00"/>
    <s v="NO"/>
    <s v="Yes"/>
    <d v="2024-03-31T00:00:00"/>
    <s v="NA - Actual Cost"/>
    <n v="5"/>
    <n v="0"/>
    <n v="0"/>
    <s v="No Change"/>
    <m/>
    <m/>
    <n v="3.9917808219178079"/>
    <n v="0"/>
    <n v="3.9917808219178079"/>
    <n v="2.9917808219178079"/>
    <s v="2 - Good  (46-70%)"/>
    <m/>
    <s v="Actual Cost"/>
    <n v="23000"/>
    <m/>
    <m/>
    <m/>
    <m/>
    <n v="23000"/>
    <n v="18362.191780821919"/>
    <n v="0"/>
    <m/>
    <m/>
    <n v="-4637.8082191780823"/>
    <m/>
    <s v="NO"/>
    <m/>
    <m/>
    <n v="-4600.0000000000009"/>
    <n v="-383.33333333333343"/>
    <m/>
    <s v="Straight line"/>
    <n v="0"/>
    <n v="-9237.8082191780832"/>
    <m/>
    <m/>
    <m/>
    <m/>
    <n v="0"/>
    <n v="13762.191780821917"/>
    <n v="-4637.8082191780823"/>
    <m/>
    <m/>
    <m/>
    <m/>
    <m/>
    <s v="S.P Pudikabekwa "/>
    <m/>
    <m/>
    <m/>
    <m/>
    <n v="0"/>
  </r>
  <r>
    <n v="1965"/>
    <s v="Open plan finance"/>
    <s v="PPE"/>
    <x v="0"/>
    <s v="MOV"/>
    <x v="0"/>
    <s v="OTH"/>
    <x v="2"/>
    <s v="OTH"/>
    <s v="Other Assets"/>
    <s v="Main offices"/>
    <s v="Main offices"/>
    <s v="OTH"/>
    <s v="Lenovo Laptop - Sindisiwe Zawana"/>
    <s v="OTH"/>
    <m/>
    <s v="Lenovo Laptop - Sindisiwe Zawana"/>
    <s v="Cost Model"/>
    <s v="Owned"/>
    <s v="Core"/>
    <x v="0"/>
    <s v="Finance and Administration : Asset Management"/>
    <s v="FX005002001000000000000000000000000"/>
    <s v="IA002015001018001001000000000000000000"/>
    <n v="1"/>
    <s v="28/03/2024"/>
    <d v="2024-03-28T00:00:00"/>
    <s v="NO"/>
    <s v="Yes"/>
    <d v="2024-03-31T00:00:00"/>
    <s v="NA - Actual Cost"/>
    <n v="5"/>
    <n v="0"/>
    <n v="0"/>
    <s v="No Change"/>
    <m/>
    <m/>
    <n v="3.9917808219178079"/>
    <n v="0"/>
    <n v="3.9917808219178079"/>
    <n v="2.9917808219178079"/>
    <s v="2 - Good  (46-70%)"/>
    <m/>
    <s v="Actual Cost"/>
    <n v="23000"/>
    <m/>
    <m/>
    <m/>
    <m/>
    <n v="23000"/>
    <n v="18362.191780821919"/>
    <n v="0"/>
    <m/>
    <m/>
    <n v="-4637.8082191780823"/>
    <m/>
    <s v="NO"/>
    <m/>
    <m/>
    <n v="-4600.0000000000009"/>
    <n v="-383.33333333333343"/>
    <m/>
    <s v="Straight line"/>
    <n v="0"/>
    <n v="-9237.8082191780832"/>
    <m/>
    <m/>
    <m/>
    <m/>
    <n v="0"/>
    <n v="13762.191780821917"/>
    <n v="-4637.8082191780823"/>
    <m/>
    <m/>
    <m/>
    <m/>
    <m/>
    <s v="S.ZAWANA"/>
    <m/>
    <m/>
    <m/>
    <m/>
    <n v="0"/>
  </r>
  <r>
    <n v="1971"/>
    <s v="R25"/>
    <s v="PPE"/>
    <x v="0"/>
    <s v="MOV"/>
    <x v="0"/>
    <s v="OTH"/>
    <x v="2"/>
    <s v="OTH"/>
    <s v="Other Assets"/>
    <s v="Main offices"/>
    <s v="Main offices"/>
    <s v="OTH"/>
    <s v="Lenovo Laptop - Sibongile Ndzimande"/>
    <s v="OTH"/>
    <m/>
    <s v="Lenovo Laptop - Sibongile Ndzimande"/>
    <s v="Cost Model"/>
    <s v="Owned"/>
    <s v="Core"/>
    <x v="0"/>
    <s v="Finance and Administration : Asset Management"/>
    <s v="FX005002001000000000000000000000000"/>
    <s v="IA002015001018001001000000000000000000"/>
    <n v="1"/>
    <s v="28/03/2024"/>
    <d v="2024-03-28T00:00:00"/>
    <s v="NO"/>
    <s v="Yes"/>
    <d v="2024-03-31T00:00:00"/>
    <s v="NA - Actual Cost"/>
    <n v="5"/>
    <n v="0"/>
    <n v="0"/>
    <s v="No Change"/>
    <m/>
    <m/>
    <n v="3.9917808219178079"/>
    <n v="0"/>
    <n v="3.9917808219178079"/>
    <n v="2.9917808219178079"/>
    <s v="2 - Good  (46-70%)"/>
    <m/>
    <s v="Actual Cost"/>
    <n v="23000"/>
    <m/>
    <m/>
    <m/>
    <m/>
    <n v="23000"/>
    <n v="18362.191780821919"/>
    <n v="0"/>
    <m/>
    <m/>
    <n v="-4637.8082191780823"/>
    <m/>
    <s v="NO"/>
    <m/>
    <m/>
    <n v="-4600.0000000000009"/>
    <n v="-383.33333333333343"/>
    <m/>
    <s v="Straight line"/>
    <n v="0"/>
    <n v="-9237.8082191780832"/>
    <m/>
    <m/>
    <m/>
    <m/>
    <n v="0"/>
    <n v="13762.191780821917"/>
    <n v="-4637.8082191780823"/>
    <m/>
    <m/>
    <m/>
    <m/>
    <m/>
    <s v="S.Ndzimande"/>
    <m/>
    <m/>
    <m/>
    <m/>
    <n v="0"/>
  </r>
  <r>
    <n v="1972"/>
    <n v="0"/>
    <s v="PPE"/>
    <x v="0"/>
    <s v="MOV"/>
    <x v="0"/>
    <s v="OTH"/>
    <x v="2"/>
    <s v="OTH"/>
    <s v="Other Assets"/>
    <s v="Main offices"/>
    <s v="Main offices"/>
    <s v="OTH"/>
    <s v="Lenovo Laptop - Dr Tsholofelo Mosala"/>
    <s v="OTH"/>
    <m/>
    <s v="Lenovo Laptop - Dr Tsholofelo Mosala"/>
    <s v="Cost Model"/>
    <s v="Owned"/>
    <s v="Core"/>
    <x v="0"/>
    <s v="Finance and Administration : Asset Management"/>
    <s v="FX005002001000000000000000000000000"/>
    <s v="IA002015001018001001000000000000000000"/>
    <n v="1"/>
    <s v="28/03/2024"/>
    <d v="2024-03-28T00:00:00"/>
    <s v="NO"/>
    <s v="Yes"/>
    <d v="2024-03-31T00:00:00"/>
    <s v="NA - Actual Cost"/>
    <n v="5"/>
    <n v="0"/>
    <n v="0"/>
    <s v="No Change"/>
    <m/>
    <m/>
    <n v="3.9917808219178079"/>
    <n v="0"/>
    <n v="3.9917808219178079"/>
    <n v="2.9917808219178079"/>
    <s v="2 - Good  (46-70%)"/>
    <m/>
    <s v="Actual Cost"/>
    <n v="23000"/>
    <m/>
    <m/>
    <m/>
    <m/>
    <n v="23000"/>
    <n v="3149.5499999999993"/>
    <n v="0"/>
    <m/>
    <m/>
    <n v="-4637.8082191780823"/>
    <m/>
    <s v="NO"/>
    <m/>
    <m/>
    <n v="-789.00875085792711"/>
    <n v="-65.750729238160588"/>
    <m/>
    <s v="Straight line"/>
    <n v="0"/>
    <n v="-5426.8169700360095"/>
    <n v="-15212.641780821919"/>
    <n v="0"/>
    <m/>
    <m/>
    <n v="-15212.641780821919"/>
    <n v="2360.541249142072"/>
    <n v="-4637.8082191780823"/>
    <m/>
    <m/>
    <m/>
    <m/>
    <m/>
    <s v="T. Mosala"/>
    <m/>
    <m/>
    <m/>
    <m/>
    <n v="0"/>
  </r>
  <r>
    <n v="1973"/>
    <s v="Open plan co- business "/>
    <s v="PPE"/>
    <x v="0"/>
    <s v="MOV"/>
    <x v="0"/>
    <s v="OTH"/>
    <x v="2"/>
    <s v="OTH"/>
    <s v="Other Assets"/>
    <s v="Main offices"/>
    <s v="Main offices"/>
    <s v="OTH"/>
    <s v="Lenovo Laptop - Simon Nkosi"/>
    <s v="OTH"/>
    <m/>
    <s v="Lenovo Laptop - Simon Nkosi"/>
    <s v="Cost Model"/>
    <s v="Owned"/>
    <s v="Core"/>
    <x v="0"/>
    <s v="Finance and Administration : Asset Management"/>
    <s v="FX005002001000000000000000000000000"/>
    <s v="IA002015001018001001000000000000000000"/>
    <n v="1"/>
    <s v="28/03/2024"/>
    <d v="2024-03-28T00:00:00"/>
    <s v="NO"/>
    <s v="Yes"/>
    <d v="2024-03-31T00:00:00"/>
    <s v="NA - Actual Cost"/>
    <n v="5"/>
    <n v="0"/>
    <n v="0"/>
    <s v="No Change"/>
    <m/>
    <m/>
    <n v="3.9917808219178079"/>
    <n v="0"/>
    <n v="3.9917808219178079"/>
    <n v="2.9917808219178079"/>
    <s v="2 - Good  (46-70%)"/>
    <m/>
    <s v="Actual Cost"/>
    <n v="23000"/>
    <m/>
    <m/>
    <m/>
    <m/>
    <n v="23000"/>
    <n v="18362.191780821919"/>
    <n v="0"/>
    <m/>
    <m/>
    <n v="-4637.8082191780823"/>
    <m/>
    <s v="NO"/>
    <m/>
    <m/>
    <n v="-4600.0000000000009"/>
    <n v="-383.33333333333343"/>
    <m/>
    <s v="Straight line"/>
    <n v="0"/>
    <n v="-9237.8082191780832"/>
    <m/>
    <m/>
    <m/>
    <m/>
    <n v="0"/>
    <n v="13762.191780821917"/>
    <n v="-4637.8082191780823"/>
    <m/>
    <m/>
    <m/>
    <m/>
    <m/>
    <s v="T.Mpahlele"/>
    <m/>
    <m/>
    <m/>
    <m/>
    <n v="0"/>
  </r>
  <r>
    <n v="1974"/>
    <s v="R2 Open plan finance "/>
    <s v="PPE"/>
    <x v="0"/>
    <s v="MOV"/>
    <x v="0"/>
    <s v="OTH"/>
    <x v="2"/>
    <s v="OTH"/>
    <s v="Other Assets"/>
    <s v="Main offices"/>
    <s v="Main offices"/>
    <s v="OTH"/>
    <s v="Lenovo Laptop - Thandanani Mkhize"/>
    <s v="OTH"/>
    <m/>
    <s v="Lenovo Laptop - Thandanani Mkhize"/>
    <s v="Cost Model"/>
    <s v="Owned"/>
    <s v="Core"/>
    <x v="0"/>
    <s v="Finance and Administration : Asset Management"/>
    <s v="FX005002001000000000000000000000000"/>
    <s v="IA002015001018001001000000000000000000"/>
    <n v="1"/>
    <s v="28/03/2024"/>
    <d v="2024-03-28T00:00:00"/>
    <s v="NO"/>
    <s v="Yes"/>
    <d v="2024-03-31T00:00:00"/>
    <s v="NA - Actual Cost"/>
    <n v="5"/>
    <n v="0"/>
    <n v="0"/>
    <s v="No Change"/>
    <m/>
    <m/>
    <n v="3.9917808219178079"/>
    <n v="0"/>
    <n v="3.9917808219178079"/>
    <n v="2.9917808219178079"/>
    <s v="2 - Good  (46-70%)"/>
    <m/>
    <s v="Actual Cost"/>
    <n v="23000"/>
    <m/>
    <m/>
    <m/>
    <m/>
    <n v="23000"/>
    <n v="18362.191780821919"/>
    <n v="0"/>
    <m/>
    <m/>
    <n v="-4637.8082191780823"/>
    <m/>
    <s v="NO"/>
    <m/>
    <m/>
    <n v="-4600.0000000000009"/>
    <n v="-383.33333333333343"/>
    <m/>
    <s v="Straight line"/>
    <n v="0"/>
    <n v="-9237.8082191780832"/>
    <m/>
    <m/>
    <m/>
    <m/>
    <n v="0"/>
    <n v="13762.191780821917"/>
    <n v="-4637.8082191780823"/>
    <m/>
    <m/>
    <m/>
    <m/>
    <m/>
    <s v="N. Gawula"/>
    <m/>
    <m/>
    <m/>
    <m/>
    <n v="0"/>
  </r>
  <r>
    <n v="1975"/>
    <n v="0"/>
    <s v="PPE"/>
    <x v="0"/>
    <s v="MOV"/>
    <x v="0"/>
    <s v="OTH"/>
    <x v="2"/>
    <s v="OTH"/>
    <s v="Other Assets"/>
    <s v="Main offices"/>
    <s v="Main offices"/>
    <s v="OTH"/>
    <s v="Samsung Galaxy Tab A9 - Ms Kibini Elizabeth"/>
    <s v="OTH"/>
    <m/>
    <s v="Samsung Galaxy Tab A9 - Ms Kibini Elizabeth"/>
    <s v="Cost Model"/>
    <s v="Owned"/>
    <s v="Core"/>
    <x v="0"/>
    <s v="Finance and Administration : Asset Management"/>
    <s v="FX005002001000000000000000000000000"/>
    <s v="IA002015001018001001000000000000000000"/>
    <n v="1"/>
    <s v="16/02/2024"/>
    <d v="2024-02-16T00:00:00"/>
    <s v="NO"/>
    <s v="Yes"/>
    <d v="2024-03-31T00:00:00"/>
    <s v="NA - Actual Cost"/>
    <n v="5"/>
    <n v="0"/>
    <n v="0"/>
    <s v="No Change"/>
    <m/>
    <m/>
    <n v="3.8794520547945206"/>
    <n v="0"/>
    <n v="3.8794520547945206"/>
    <n v="2.8794520547945206"/>
    <n v="0"/>
    <m/>
    <s v="Actual Cost"/>
    <n v="5274.19"/>
    <m/>
    <m/>
    <m/>
    <m/>
    <n v="5274.19"/>
    <n v="4092.193446575342"/>
    <n v="0"/>
    <m/>
    <m/>
    <n v="-1181.9965534246573"/>
    <m/>
    <s v="NO"/>
    <m/>
    <m/>
    <n v="-1054.838"/>
    <n v="-87.903166666666664"/>
    <m/>
    <s v="Straight line"/>
    <n v="0"/>
    <n v="-2236.8345534246573"/>
    <m/>
    <m/>
    <m/>
    <m/>
    <n v="0"/>
    <n v="3037.3554465753423"/>
    <n v="-1181.9965534246573"/>
    <m/>
    <m/>
    <m/>
    <m/>
    <m/>
    <n v="0"/>
    <m/>
    <m/>
    <m/>
    <m/>
    <n v="0"/>
  </r>
  <r>
    <n v="1453"/>
    <n v="0"/>
    <s v="PPE"/>
    <x v="0"/>
    <s v="MOV"/>
    <x v="0"/>
    <s v="OTH"/>
    <x v="2"/>
    <s v="OTH"/>
    <s v="Other Assets"/>
    <s v="Main offices"/>
    <s v="Main offices"/>
    <s v="OTH"/>
    <s v="Samsung Galaxy Tab A9 - Ms Elodie Tlhoaele"/>
    <s v="OTH"/>
    <m/>
    <s v="Samsung Galaxy Tab A9 - Ms Elodie Tlhoaele"/>
    <s v="Cost Model"/>
    <s v="Owned"/>
    <s v="Core"/>
    <x v="0"/>
    <s v="Finance and Administration : Asset Management"/>
    <s v="FX005002001000000000000000000000000"/>
    <s v="IA002015001018001001000000000000000000"/>
    <n v="1"/>
    <s v="16/02/2024"/>
    <d v="2024-02-16T00:00:00"/>
    <s v="NO"/>
    <s v="Yes"/>
    <d v="2024-03-31T00:00:00"/>
    <s v="NA - Actual Cost"/>
    <n v="5"/>
    <n v="0"/>
    <n v="0"/>
    <s v="No Change"/>
    <m/>
    <m/>
    <n v="3.8794520547945206"/>
    <n v="0"/>
    <n v="3.8794520547945206"/>
    <n v="2.8794520547945206"/>
    <n v="0"/>
    <m/>
    <s v="Actual Cost"/>
    <n v="5274.19"/>
    <m/>
    <m/>
    <m/>
    <m/>
    <n v="5274.19"/>
    <n v="4092.193446575342"/>
    <n v="0"/>
    <m/>
    <m/>
    <n v="-1181.9965534246573"/>
    <m/>
    <s v="NO"/>
    <m/>
    <m/>
    <n v="-1054.838"/>
    <n v="-87.903166666666664"/>
    <m/>
    <s v="Straight line"/>
    <n v="0"/>
    <n v="-2236.8345534246573"/>
    <m/>
    <m/>
    <m/>
    <m/>
    <n v="0"/>
    <n v="3037.3554465753423"/>
    <n v="-1181.9965534246573"/>
    <m/>
    <m/>
    <m/>
    <m/>
    <m/>
    <m/>
    <m/>
    <m/>
    <m/>
    <m/>
    <n v="0"/>
  </r>
  <r>
    <n v="1978"/>
    <s v="Server room finance"/>
    <s v="PPE"/>
    <x v="0"/>
    <s v="MOV"/>
    <x v="0"/>
    <s v="OTH"/>
    <x v="2"/>
    <s v="OTH"/>
    <s v="Other Assets"/>
    <s v="Main offices"/>
    <s v="Main offices"/>
    <s v="OTH"/>
    <s v="Projector - Mainboardroom"/>
    <s v="OTH"/>
    <m/>
    <s v="Projector - Mainboardroom"/>
    <s v="Cost Model"/>
    <s v="Owned"/>
    <s v="Core"/>
    <x v="0"/>
    <s v="Finance and Administration : Asset Management"/>
    <s v="FX005002001000000000000000000000000"/>
    <s v="IA002015001018001001000000000000000000"/>
    <n v="1"/>
    <s v="28/03/2024"/>
    <d v="2024-03-28T00:00:00"/>
    <s v="NO"/>
    <s v="Yes"/>
    <d v="2024-03-31T00:00:00"/>
    <s v="NA - Actual Cost"/>
    <n v="5"/>
    <n v="0"/>
    <n v="0"/>
    <s v="No Change"/>
    <m/>
    <m/>
    <n v="3.9917808219178079"/>
    <n v="0"/>
    <n v="3.9917808219178079"/>
    <n v="2.9917808219178079"/>
    <s v="2 - Good  (46-70%)"/>
    <m/>
    <s v="Actual Cost"/>
    <n v="64300"/>
    <m/>
    <m/>
    <m/>
    <m/>
    <n v="64300"/>
    <n v="51334.301369863009"/>
    <n v="0"/>
    <m/>
    <m/>
    <n v="-12965.698630136989"/>
    <m/>
    <s v="NO"/>
    <m/>
    <m/>
    <n v="-12860"/>
    <n v="-1071.6666666666667"/>
    <m/>
    <s v="Straight line"/>
    <n v="0"/>
    <n v="-25825.698630136991"/>
    <m/>
    <m/>
    <m/>
    <m/>
    <n v="0"/>
    <n v="38474.301369863009"/>
    <n v="-12965.698630136989"/>
    <m/>
    <m/>
    <m/>
    <m/>
    <m/>
    <s v="N.Gawula"/>
    <m/>
    <m/>
    <m/>
    <m/>
    <n v="0"/>
  </r>
  <r>
    <n v="1890"/>
    <s v="R31"/>
    <s v="PPE"/>
    <x v="0"/>
    <s v="MOV"/>
    <x v="0"/>
    <s v="OTH"/>
    <x v="0"/>
    <s v="OTH"/>
    <s v="Other Assets"/>
    <s v="Main offices"/>
    <s v="Main offices"/>
    <s v="OTH"/>
    <s v="Judge Visitor Chair, Standard with Mahogany in Class 5 Black Bonded Leather"/>
    <s v="OTH"/>
    <m/>
    <s v="Judge Visitor Chair, Standard with Mahogany in Class 5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18/10/2023"/>
    <d v="2023-10-18T00:00:00"/>
    <s v="NO"/>
    <s v="Yes"/>
    <d v="2024-03-31T00:00:00"/>
    <s v="NA - Actual Cost"/>
    <n v="6"/>
    <n v="0"/>
    <n v="0"/>
    <s v="No Change"/>
    <m/>
    <m/>
    <n v="4.5479452054794525"/>
    <n v="0"/>
    <n v="4.5479452054794525"/>
    <n v="3.5479452054794525"/>
    <s v="1 - Very good (71-100%)"/>
    <m/>
    <s v="Actual Cost"/>
    <n v="5164.9951473607744"/>
    <m/>
    <m/>
    <m/>
    <m/>
    <n v="5164.9951473607744"/>
    <n v="3915.0191527940115"/>
    <n v="0"/>
    <m/>
    <m/>
    <n v="-1249.9759945667627"/>
    <m/>
    <s v="NO"/>
    <m/>
    <m/>
    <n v="-860.83252456012895"/>
    <n v="-71.736043713344074"/>
    <m/>
    <s v="Straight line"/>
    <n v="0"/>
    <n v="-2110.8085191268915"/>
    <m/>
    <m/>
    <m/>
    <m/>
    <n v="0"/>
    <n v="3054.1866282338829"/>
    <n v="-1249.9759945667627"/>
    <m/>
    <m/>
    <m/>
    <m/>
    <m/>
    <m/>
    <m/>
    <m/>
    <m/>
    <m/>
    <n v="0"/>
  </r>
  <r>
    <n v="1888"/>
    <s v="R31"/>
    <s v="PPE"/>
    <x v="0"/>
    <s v="MOV"/>
    <x v="0"/>
    <s v="OTH"/>
    <x v="0"/>
    <s v="OTH"/>
    <s v="Other Assets"/>
    <s v="Main offices"/>
    <s v="Main offices"/>
    <s v="OTH"/>
    <s v="Judge Visitor Chair, Standard with Mahogany in Class 5 Black Bonded Leather"/>
    <s v="OTH"/>
    <m/>
    <s v="Judge Visitor Chair, Standard with Mahogany in Class 5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18/10/2023"/>
    <d v="2023-10-18T00:00:00"/>
    <s v="NO"/>
    <s v="Yes"/>
    <d v="2024-03-31T00:00:00"/>
    <s v="NA - Actual Cost"/>
    <n v="6"/>
    <n v="0"/>
    <n v="0"/>
    <s v="No Change"/>
    <m/>
    <m/>
    <n v="4.5479452054794525"/>
    <n v="0"/>
    <n v="4.5479452054794525"/>
    <n v="3.5479452054794525"/>
    <s v="2 - Very good (71-100%)"/>
    <m/>
    <s v="Actual Cost"/>
    <n v="5164.9951473607744"/>
    <m/>
    <m/>
    <m/>
    <m/>
    <n v="5164.9951473607744"/>
    <n v="3915.0191527940115"/>
    <n v="0"/>
    <m/>
    <m/>
    <n v="-1249.9759945667627"/>
    <m/>
    <s v="NO"/>
    <m/>
    <m/>
    <n v="-860.83252456012895"/>
    <n v="-71.736043713344074"/>
    <m/>
    <s v="Straight line"/>
    <n v="0"/>
    <n v="-2110.8085191268915"/>
    <m/>
    <m/>
    <m/>
    <m/>
    <n v="0"/>
    <n v="3054.1866282338829"/>
    <n v="-1249.9759945667627"/>
    <m/>
    <m/>
    <m/>
    <m/>
    <m/>
    <m/>
    <m/>
    <m/>
    <m/>
    <m/>
    <n v="0"/>
  </r>
  <r>
    <n v="1871"/>
    <s v="R31"/>
    <s v="PPE"/>
    <x v="0"/>
    <s v="MOV"/>
    <x v="0"/>
    <s v="OTH"/>
    <x v="0"/>
    <s v="OTH"/>
    <s v="Other Assets"/>
    <s v="Main offices"/>
    <s v="Main offices"/>
    <s v="OTH"/>
    <s v="Judge Visitor Chair, Standard with Mahogany in Class 5 Black Bonded Leather"/>
    <s v="OTH"/>
    <m/>
    <s v="Judge Visitor Chair, Standard with Mahogany in Class 5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18/10/2023"/>
    <d v="2023-10-18T00:00:00"/>
    <s v="NO"/>
    <s v="Yes"/>
    <d v="2024-03-31T00:00:00"/>
    <s v="NA - Actual Cost"/>
    <n v="6"/>
    <n v="0"/>
    <n v="0"/>
    <s v="No Change"/>
    <m/>
    <m/>
    <n v="4.5479452054794525"/>
    <n v="0"/>
    <n v="4.5479452054794525"/>
    <n v="3.5479452054794525"/>
    <s v="3 - Very good (71-100%)"/>
    <m/>
    <s v="Actual Cost"/>
    <n v="5164.9951473607744"/>
    <m/>
    <m/>
    <m/>
    <m/>
    <n v="5164.9951473607744"/>
    <n v="3915.0191527940115"/>
    <n v="0"/>
    <m/>
    <m/>
    <n v="-1249.9759945667627"/>
    <m/>
    <s v="NO"/>
    <m/>
    <m/>
    <n v="-860.83252456012895"/>
    <n v="-71.736043713344074"/>
    <m/>
    <s v="Straight line"/>
    <n v="0"/>
    <n v="-2110.8085191268915"/>
    <m/>
    <m/>
    <m/>
    <m/>
    <n v="0"/>
    <n v="3054.1866282338829"/>
    <n v="-1249.9759945667627"/>
    <m/>
    <m/>
    <m/>
    <m/>
    <m/>
    <m/>
    <m/>
    <m/>
    <m/>
    <m/>
    <n v="0"/>
  </r>
  <r>
    <n v="1805"/>
    <s v="R31"/>
    <s v="PPE"/>
    <x v="0"/>
    <s v="MOV"/>
    <x v="0"/>
    <s v="OTH"/>
    <x v="0"/>
    <s v="OTH"/>
    <s v="Other Assets"/>
    <s v="Main offices"/>
    <s v="Main offices"/>
    <s v="OTH"/>
    <s v="Judge Visitor Chair, Standard with Mahogany in Class 5 Black Bonded Leather"/>
    <s v="OTH"/>
    <m/>
    <s v="Judge Visitor Chair, Standard with Mahogany in Class 5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18/10/2023"/>
    <d v="2023-10-18T00:00:00"/>
    <s v="NO"/>
    <s v="Yes"/>
    <d v="2024-03-31T00:00:00"/>
    <s v="NA - Actual Cost"/>
    <n v="6"/>
    <n v="0"/>
    <n v="0"/>
    <s v="No Change"/>
    <m/>
    <m/>
    <n v="4.5479452054794525"/>
    <n v="0"/>
    <n v="4.5479452054794525"/>
    <n v="3.5479452054794525"/>
    <s v="4 - Very good (71-100%)"/>
    <m/>
    <s v="Actual Cost"/>
    <n v="5164.9951473607744"/>
    <m/>
    <m/>
    <m/>
    <m/>
    <n v="5164.9951473607744"/>
    <n v="3915.0191527940115"/>
    <n v="0"/>
    <m/>
    <m/>
    <n v="-1249.9759945667627"/>
    <m/>
    <s v="NO"/>
    <m/>
    <m/>
    <n v="-860.83252456012895"/>
    <n v="-71.736043713344074"/>
    <m/>
    <s v="Straight line"/>
    <n v="0"/>
    <n v="-2110.8085191268915"/>
    <m/>
    <m/>
    <m/>
    <m/>
    <n v="0"/>
    <n v="3054.1866282338829"/>
    <n v="-1249.9759945667627"/>
    <m/>
    <m/>
    <m/>
    <m/>
    <m/>
    <m/>
    <m/>
    <m/>
    <m/>
    <m/>
    <n v="0"/>
  </r>
  <r>
    <n v="1815"/>
    <s v="R31"/>
    <s v="PPE"/>
    <x v="0"/>
    <s v="MOV"/>
    <x v="0"/>
    <s v="OTH"/>
    <x v="0"/>
    <s v="OTH"/>
    <s v="Other Assets"/>
    <s v="Main offices"/>
    <s v="Main offices"/>
    <s v="OTH"/>
    <s v="Judge Visitor Chair, Standard with Mahogany in Class 5 Black Bonded Leather"/>
    <s v="OTH"/>
    <m/>
    <s v="Judge Visitor Chair, Standard with Mahogany in Class 5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18/10/2023"/>
    <d v="2023-10-18T00:00:00"/>
    <s v="NO"/>
    <s v="Yes"/>
    <d v="2024-03-31T00:00:00"/>
    <s v="NA - Actual Cost"/>
    <n v="6"/>
    <n v="0"/>
    <n v="0"/>
    <s v="No Change"/>
    <m/>
    <m/>
    <n v="4.5479452054794525"/>
    <n v="0"/>
    <n v="4.5479452054794525"/>
    <n v="3.5479452054794525"/>
    <s v="5 - Very good (71-100%)"/>
    <m/>
    <s v="Actual Cost"/>
    <n v="5164.9951473607744"/>
    <m/>
    <m/>
    <m/>
    <m/>
    <n v="5164.9951473607744"/>
    <n v="3915.0191527940115"/>
    <n v="0"/>
    <m/>
    <m/>
    <n v="-1249.9759945667627"/>
    <m/>
    <s v="NO"/>
    <m/>
    <m/>
    <n v="-860.83252456012895"/>
    <n v="-71.736043713344074"/>
    <m/>
    <s v="Straight line"/>
    <n v="0"/>
    <n v="-2110.8085191268915"/>
    <m/>
    <m/>
    <m/>
    <m/>
    <n v="0"/>
    <n v="3054.1866282338829"/>
    <n v="-1249.9759945667627"/>
    <m/>
    <m/>
    <m/>
    <m/>
    <m/>
    <m/>
    <m/>
    <m/>
    <m/>
    <m/>
    <n v="0"/>
  </r>
  <r>
    <n v="1842"/>
    <n v="31"/>
    <s v="PPE"/>
    <x v="0"/>
    <s v="MOV"/>
    <x v="0"/>
    <s v="OTH"/>
    <x v="0"/>
    <s v="OTH"/>
    <s v="Other Assets"/>
    <s v="Main offices"/>
    <s v="Main offices"/>
    <s v="OTH"/>
    <s v="Judge Visitor Chair, Standard with Mahogany in Class 5 Black Bonded Leather"/>
    <s v="OTH"/>
    <m/>
    <s v="Judge Visitor Chair, Standard with Mahogany in Class 5 Black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18/10/2023"/>
    <d v="2023-10-18T00:00:00"/>
    <s v="NO"/>
    <s v="Yes"/>
    <d v="2024-03-31T00:00:00"/>
    <s v="NA - Actual Cost"/>
    <n v="6"/>
    <n v="0"/>
    <n v="0"/>
    <s v="No Change"/>
    <m/>
    <m/>
    <n v="4.5479452054794525"/>
    <n v="0"/>
    <n v="4.5479452054794525"/>
    <n v="3.5479452054794525"/>
    <s v="6 - Very good (71-100%)"/>
    <m/>
    <s v="Actual Cost"/>
    <n v="5164.9951473607744"/>
    <m/>
    <m/>
    <m/>
    <m/>
    <n v="5164.9951473607744"/>
    <n v="3915.0191527940115"/>
    <n v="0"/>
    <m/>
    <m/>
    <n v="-1249.9759945667627"/>
    <m/>
    <s v="NO"/>
    <m/>
    <m/>
    <n v="-860.83252456012895"/>
    <n v="-71.736043713344074"/>
    <m/>
    <s v="Straight line"/>
    <n v="0"/>
    <n v="-2110.8085191268915"/>
    <m/>
    <m/>
    <m/>
    <m/>
    <n v="0"/>
    <n v="3054.1866282338829"/>
    <n v="-1249.9759945667627"/>
    <m/>
    <m/>
    <m/>
    <m/>
    <m/>
    <m/>
    <m/>
    <m/>
    <m/>
    <m/>
    <n v="0"/>
  </r>
  <r>
    <n v="1839"/>
    <s v="R31"/>
    <s v="PPE"/>
    <x v="0"/>
    <s v="MOV"/>
    <x v="0"/>
    <s v="OTH"/>
    <x v="0"/>
    <s v="OTH"/>
    <s v="Other Assets"/>
    <s v="Main offices"/>
    <s v="Main offices"/>
    <s v="OTH"/>
    <s v="Oslo Library Single Seater Couch with Loose seat Cushion in Class 6 Grey Bonded Leather"/>
    <s v="OTH"/>
    <m/>
    <s v="Oslo Library Single Seater Couch with Loose seat Cushion in Class 6 Grey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18/10/2023"/>
    <d v="2023-10-18T00:00:00"/>
    <s v="NO"/>
    <s v="Yes"/>
    <d v="2024-03-31T00:00:00"/>
    <s v="NA - Actual Cost"/>
    <n v="6"/>
    <n v="0"/>
    <n v="0"/>
    <s v="No Change"/>
    <m/>
    <m/>
    <n v="4.5479452054794525"/>
    <n v="0"/>
    <n v="4.5479452054794525"/>
    <n v="3.5479452054794525"/>
    <s v="7 - Very good (71-100%)"/>
    <m/>
    <s v="Actual Cost"/>
    <n v="8644.9987466476105"/>
    <m/>
    <m/>
    <m/>
    <m/>
    <n v="8644.9987466476105"/>
    <n v="6552.8301001986456"/>
    <n v="0"/>
    <m/>
    <m/>
    <n v="-2092.1686464489649"/>
    <m/>
    <s v="NO"/>
    <m/>
    <m/>
    <n v="-1440.8331244412684"/>
    <n v="-120.06942703677237"/>
    <m/>
    <s v="Straight line"/>
    <n v="0"/>
    <n v="-3533.0017708902333"/>
    <m/>
    <m/>
    <m/>
    <m/>
    <n v="0"/>
    <n v="5111.9969757573772"/>
    <n v="-2092.1686464489649"/>
    <m/>
    <m/>
    <m/>
    <m/>
    <m/>
    <m/>
    <m/>
    <m/>
    <m/>
    <m/>
    <n v="0"/>
  </r>
  <r>
    <n v="1846"/>
    <s v="R31"/>
    <s v="PPE"/>
    <x v="0"/>
    <s v="MOV"/>
    <x v="0"/>
    <s v="OTH"/>
    <x v="0"/>
    <s v="OTH"/>
    <s v="Other Assets"/>
    <s v="Main offices"/>
    <s v="Main offices"/>
    <s v="OTH"/>
    <s v="Oslo Library Single Seater Couch with Loose seat Cushion in Class 6 Grey Bonded Leather"/>
    <s v="OTH"/>
    <m/>
    <s v="Oslo Library Single Seater Couch with Loose seat Cushion in Class 6 Grey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18/10/2023"/>
    <d v="2023-10-18T00:00:00"/>
    <s v="NO"/>
    <s v="Yes"/>
    <d v="2024-03-31T00:00:00"/>
    <s v="NA - Actual Cost"/>
    <n v="6"/>
    <n v="0"/>
    <n v="0"/>
    <s v="No Change"/>
    <m/>
    <m/>
    <n v="4.5479452054794525"/>
    <n v="0"/>
    <n v="4.5479452054794525"/>
    <n v="3.5479452054794525"/>
    <s v="8 - Very good (71-100%)"/>
    <m/>
    <s v="Actual Cost"/>
    <n v="8644.9987466476105"/>
    <m/>
    <m/>
    <m/>
    <m/>
    <n v="8644.9987466476105"/>
    <n v="6552.8301001986456"/>
    <n v="0"/>
    <m/>
    <m/>
    <n v="-2092.1686464489649"/>
    <m/>
    <s v="NO"/>
    <m/>
    <m/>
    <n v="-1440.8331244412684"/>
    <n v="-120.06942703677237"/>
    <m/>
    <s v="Straight line"/>
    <n v="0"/>
    <n v="-3533.0017708902333"/>
    <m/>
    <m/>
    <m/>
    <m/>
    <n v="0"/>
    <n v="5111.9969757573772"/>
    <n v="-2092.1686464489649"/>
    <m/>
    <m/>
    <m/>
    <m/>
    <m/>
    <m/>
    <m/>
    <m/>
    <m/>
    <m/>
    <n v="0"/>
  </r>
  <r>
    <n v="1898"/>
    <s v="R29"/>
    <s v="PPE"/>
    <x v="0"/>
    <s v="MOV"/>
    <x v="0"/>
    <s v="OTH"/>
    <x v="0"/>
    <s v="OTH"/>
    <s v="Other Assets"/>
    <s v="Main offices"/>
    <s v="Main offices"/>
    <s v="OTH"/>
    <s v="Oslo Library Single Seater Couch with Loose seat Cushion in Class 6 Grey Bonded Leather"/>
    <s v="OTH"/>
    <m/>
    <s v="Oslo Library Single Seater Couch with Loose seat Cushion in Class 6 Grey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18/10/2023"/>
    <d v="2023-10-18T00:00:00"/>
    <s v="NO"/>
    <s v="Yes"/>
    <d v="2024-03-31T00:00:00"/>
    <s v="NA - Actual Cost"/>
    <n v="6"/>
    <n v="0"/>
    <n v="0"/>
    <s v="No Change"/>
    <m/>
    <m/>
    <n v="4.5479452054794525"/>
    <n v="0"/>
    <n v="4.5479452054794525"/>
    <n v="3.5479452054794525"/>
    <s v="9 - Very good (71-100%)"/>
    <m/>
    <s v="Actual Cost"/>
    <n v="8644.9987466476105"/>
    <m/>
    <m/>
    <m/>
    <m/>
    <n v="8644.9987466476105"/>
    <n v="6552.8301001986456"/>
    <n v="0"/>
    <m/>
    <m/>
    <n v="-2092.1686464489649"/>
    <m/>
    <s v="NO"/>
    <m/>
    <m/>
    <n v="-1440.8331244412684"/>
    <n v="-120.06942703677237"/>
    <m/>
    <s v="Straight line"/>
    <n v="0"/>
    <n v="-3533.0017708902333"/>
    <m/>
    <m/>
    <m/>
    <m/>
    <n v="0"/>
    <n v="5111.9969757573772"/>
    <n v="-2092.1686464489649"/>
    <m/>
    <m/>
    <m/>
    <m/>
    <m/>
    <m/>
    <m/>
    <m/>
    <m/>
    <m/>
    <n v="0"/>
  </r>
  <r>
    <n v="1835"/>
    <s v="R29"/>
    <s v="PPE"/>
    <x v="0"/>
    <s v="MOV"/>
    <x v="0"/>
    <s v="OTH"/>
    <x v="0"/>
    <s v="OTH"/>
    <s v="Other Assets"/>
    <s v="Main offices"/>
    <s v="Main offices"/>
    <s v="OTH"/>
    <s v="Oslo Library Single Seater Couch with Loose seat Cushion in Class 6 Grey Bonded Leather"/>
    <s v="OTH"/>
    <m/>
    <s v="Oslo Library Single Seater Couch with Loose seat Cushion in Class 6 Grey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18/10/2023"/>
    <d v="2023-10-18T00:00:00"/>
    <s v="NO"/>
    <s v="Yes"/>
    <d v="2024-03-31T00:00:00"/>
    <s v="NA - Actual Cost"/>
    <n v="6"/>
    <n v="0"/>
    <n v="0"/>
    <s v="No Change"/>
    <m/>
    <m/>
    <n v="4.5479452054794525"/>
    <n v="0"/>
    <n v="4.5479452054794525"/>
    <n v="3.5479452054794525"/>
    <s v="10 - Very good (71-100%)"/>
    <m/>
    <s v="Actual Cost"/>
    <n v="8644.9987466476105"/>
    <m/>
    <m/>
    <m/>
    <m/>
    <n v="8644.9987466476105"/>
    <n v="6552.8301001986456"/>
    <n v="0"/>
    <m/>
    <m/>
    <n v="-2092.1686464489649"/>
    <m/>
    <s v="NO"/>
    <m/>
    <m/>
    <n v="-1440.8331244412684"/>
    <n v="-120.06942703677237"/>
    <m/>
    <s v="Straight line"/>
    <n v="0"/>
    <n v="-3533.0017708902333"/>
    <m/>
    <m/>
    <m/>
    <m/>
    <n v="0"/>
    <n v="5111.9969757573772"/>
    <n v="-2092.1686464489649"/>
    <m/>
    <m/>
    <m/>
    <m/>
    <m/>
    <m/>
    <m/>
    <m/>
    <m/>
    <m/>
    <n v="0"/>
  </r>
  <r>
    <n v="1820"/>
    <s v="R29"/>
    <s v="PPE"/>
    <x v="0"/>
    <s v="MOV"/>
    <x v="0"/>
    <s v="OTH"/>
    <x v="0"/>
    <s v="OTH"/>
    <s v="Other Assets"/>
    <s v="Main offices"/>
    <s v="Main offices"/>
    <s v="OTH"/>
    <s v="Oslo Library Single Seater Couch with Loose seat Cushion in Class 6 Grey Bonded Leather"/>
    <s v="OTH"/>
    <m/>
    <s v="Oslo Library Single Seater Couch with Loose seat Cushion in Class 6 Grey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18/10/2023"/>
    <d v="2023-10-18T00:00:00"/>
    <s v="NO"/>
    <s v="Yes"/>
    <d v="2024-03-31T00:00:00"/>
    <s v="NA - Actual Cost"/>
    <n v="6"/>
    <n v="0"/>
    <n v="0"/>
    <s v="No Change"/>
    <m/>
    <m/>
    <n v="4.5479452054794525"/>
    <n v="0"/>
    <n v="4.5479452054794525"/>
    <n v="3.5479452054794525"/>
    <s v="11 - Very good (71-100%)"/>
    <m/>
    <s v="Actual Cost"/>
    <n v="8644.9987466476105"/>
    <m/>
    <m/>
    <m/>
    <m/>
    <n v="8644.9987466476105"/>
    <n v="6552.8301001986456"/>
    <n v="0"/>
    <m/>
    <m/>
    <n v="-2092.1686464489649"/>
    <m/>
    <s v="NO"/>
    <m/>
    <m/>
    <n v="-1440.8331244412684"/>
    <n v="-120.06942703677237"/>
    <m/>
    <s v="Straight line"/>
    <n v="0"/>
    <n v="-3533.0017708902333"/>
    <m/>
    <m/>
    <m/>
    <m/>
    <n v="0"/>
    <n v="5111.9969757573772"/>
    <n v="-2092.1686464489649"/>
    <m/>
    <m/>
    <m/>
    <m/>
    <m/>
    <m/>
    <m/>
    <m/>
    <m/>
    <m/>
    <n v="0"/>
  </r>
  <r>
    <n v="1896"/>
    <s v="R29"/>
    <s v="PPE"/>
    <x v="0"/>
    <s v="MOV"/>
    <x v="0"/>
    <s v="OTH"/>
    <x v="0"/>
    <s v="OTH"/>
    <s v="Other Assets"/>
    <s v="Main offices"/>
    <s v="Main offices"/>
    <s v="OTH"/>
    <s v="Oslo Library Single Seater Couch with Loose seat Cushion in Class 6 Grey Bonded Leather"/>
    <s v="OTH"/>
    <m/>
    <s v="Oslo Library Single Seater Couch with Loose seat Cushion in Class 6 Grey Bonded Leather"/>
    <s v="Cost Model"/>
    <s v="Owned"/>
    <s v="Core"/>
    <x v="0"/>
    <s v="Finance and Administration : Asset Management"/>
    <s v="FX005002001000000000000000000000000"/>
    <s v="IA002015001018001001000000000000000000"/>
    <n v="1"/>
    <s v="18/10/2023"/>
    <d v="2023-10-18T00:00:00"/>
    <s v="NO"/>
    <s v="Yes"/>
    <d v="2024-03-31T00:00:00"/>
    <s v="NA - Actual Cost"/>
    <n v="6"/>
    <n v="0"/>
    <n v="0"/>
    <s v="No Change"/>
    <m/>
    <m/>
    <n v="4.5479452054794525"/>
    <n v="0"/>
    <n v="4.5479452054794525"/>
    <n v="3.5479452054794525"/>
    <s v="12 - Very good (71-100%)"/>
    <m/>
    <s v="Actual Cost"/>
    <n v="8644.9987466476105"/>
    <m/>
    <m/>
    <m/>
    <m/>
    <n v="8644.9987466476105"/>
    <n v="6552.8301001986456"/>
    <n v="0"/>
    <m/>
    <m/>
    <n v="-2092.1686464489649"/>
    <m/>
    <s v="NO"/>
    <m/>
    <m/>
    <n v="-1440.8331244412684"/>
    <n v="-120.06942703677237"/>
    <m/>
    <s v="Straight line"/>
    <n v="0"/>
    <n v="-3533.0017708902333"/>
    <m/>
    <m/>
    <m/>
    <m/>
    <n v="0"/>
    <n v="5111.9969757573772"/>
    <n v="-2092.1686464489649"/>
    <m/>
    <m/>
    <m/>
    <m/>
    <m/>
    <m/>
    <m/>
    <m/>
    <m/>
    <m/>
    <n v="0"/>
  </r>
  <r>
    <n v="1833"/>
    <n v="29"/>
    <s v="PPE"/>
    <x v="0"/>
    <s v="MOV"/>
    <x v="0"/>
    <s v="OTH"/>
    <x v="0"/>
    <s v="OTH"/>
    <s v="Other Assets"/>
    <s v="Main offices"/>
    <s v="Main offices"/>
    <s v="OTH"/>
    <s v="Contemporary 4 Legged Coffee Table 1200x600 in Mahogany Veneer"/>
    <s v="OTH"/>
    <m/>
    <s v="Contemporary 4 Legged Coffee Table 1200x600 in Mahogany Veneer"/>
    <s v="Cost Model"/>
    <s v="Owned"/>
    <s v="Core"/>
    <x v="0"/>
    <s v="Finance and Administration : Asset Management"/>
    <s v="FX005002001000000000000000000000000"/>
    <s v="IA002015001018001001000000000000000000"/>
    <n v="1"/>
    <s v="18/10/2023"/>
    <d v="2023-10-18T00:00:00"/>
    <s v="NO"/>
    <s v="Yes"/>
    <d v="2024-03-31T00:00:00"/>
    <s v="NA - Actual Cost"/>
    <n v="6"/>
    <n v="0"/>
    <n v="0"/>
    <s v="No Change"/>
    <m/>
    <m/>
    <n v="4.5479452054794525"/>
    <n v="0"/>
    <n v="4.5479452054794525"/>
    <n v="3.5479452054794525"/>
    <s v="13 - Very good (71-100%)"/>
    <m/>
    <s v="Actual Cost"/>
    <n v="4765.0366359496902"/>
    <m/>
    <m/>
    <m/>
    <m/>
    <n v="4765.0366359496902"/>
    <n v="3611.8542537335552"/>
    <n v="0"/>
    <m/>
    <m/>
    <n v="-1153.182382216135"/>
    <m/>
    <s v="NO"/>
    <m/>
    <m/>
    <n v="-794.17277265828159"/>
    <n v="-66.181064388190137"/>
    <m/>
    <s v="Straight line"/>
    <n v="0"/>
    <n v="-1947.3551548744167"/>
    <m/>
    <m/>
    <m/>
    <m/>
    <n v="0"/>
    <n v="2817.6814810752735"/>
    <n v="-1153.182382216135"/>
    <m/>
    <m/>
    <m/>
    <m/>
    <m/>
    <m/>
    <m/>
    <m/>
    <m/>
    <m/>
    <n v="0"/>
  </r>
  <r>
    <s v="1941"/>
    <s v="32"/>
    <s v="PPE"/>
    <x v="0"/>
    <s v="MOV"/>
    <x v="0"/>
    <s v="OTH"/>
    <x v="1"/>
    <s v="OTH"/>
    <s v="Other Assets"/>
    <s v="Main offices"/>
    <s v="Main offices"/>
    <s v="OTH"/>
    <s v="Sensitive Camera Microphone"/>
    <s v="OTH"/>
    <m/>
    <s v="Sensitive Camera Microphone"/>
    <s v="Cost Model"/>
    <s v="Owned"/>
    <s v="Core"/>
    <x v="0"/>
    <s v="Finance and Administration : Asset Management"/>
    <s v="FX005002001000000000000000000000000"/>
    <s v="IA002015001018001001000000000000000000"/>
    <n v="1"/>
    <s v="19/09/2024"/>
    <d v="2024-09-19T00:00:00"/>
    <s v="NO"/>
    <s v="Yes"/>
    <d v="2025-03-31T00:00:00"/>
    <s v="NA - Actual Cost"/>
    <n v="6"/>
    <n v="0"/>
    <n v="0"/>
    <s v="No Change"/>
    <n v="193"/>
    <n v="0.52876712328767128"/>
    <n v="5.4712328767123291"/>
    <n v="0"/>
    <n v="5.4712328767123291"/>
    <n v="5.4712328767123291"/>
    <s v="13 - Very good (71-100%)"/>
    <m/>
    <s v="Actual Cost"/>
    <n v="16700"/>
    <m/>
    <m/>
    <m/>
    <m/>
    <n v="16700"/>
    <n v="15228.264840182648"/>
    <n v="0"/>
    <m/>
    <m/>
    <n v="-1471.7351598173516"/>
    <m/>
    <s v="NO"/>
    <m/>
    <m/>
    <n v="-2783.333333333333"/>
    <n v="-231.94444444444443"/>
    <m/>
    <s v="Straight line"/>
    <n v="0"/>
    <n v="-4255.0684931506848"/>
    <m/>
    <m/>
    <m/>
    <m/>
    <n v="0"/>
    <n v="12444.931506849316"/>
    <n v="-1471.7351598173516"/>
    <m/>
    <m/>
    <m/>
    <m/>
    <m/>
    <m/>
    <s v="DU0247106"/>
    <m/>
    <m/>
    <m/>
    <n v="0"/>
  </r>
  <r>
    <n v="1916"/>
    <s v="32"/>
    <s v="PPE"/>
    <x v="0"/>
    <s v="MOV"/>
    <x v="0"/>
    <s v="OTH"/>
    <x v="1"/>
    <s v="OTH"/>
    <s v="Other Assets"/>
    <s v="Main offices"/>
    <s v="Main offices"/>
    <s v="OTH"/>
    <s v="Professional Camera with Tripot"/>
    <s v="OTH"/>
    <m/>
    <s v="Professional Camera with Tripot"/>
    <s v="Cost Model"/>
    <s v="Owned"/>
    <s v="Core"/>
    <x v="0"/>
    <s v="Finance and Administration : Asset Management"/>
    <s v="FX005002001000000000000000000000000"/>
    <s v="IA002015001018001001000000000000000000"/>
    <n v="1"/>
    <s v="19/09/2024"/>
    <d v="2024-09-19T00:00:00"/>
    <s v="NO"/>
    <s v="Yes"/>
    <d v="2025-03-31T00:00:00"/>
    <s v="NA - Actual Cost"/>
    <n v="6"/>
    <n v="0"/>
    <n v="0"/>
    <s v="No Change"/>
    <n v="193"/>
    <n v="0.52876712328767128"/>
    <n v="5.4712328767123291"/>
    <n v="0"/>
    <n v="5.4712328767123291"/>
    <n v="5.4712328767123291"/>
    <s v="13 - Very good (71-100%)"/>
    <m/>
    <s v="Actual Cost"/>
    <n v="132400"/>
    <m/>
    <m/>
    <m/>
    <m/>
    <n v="132400"/>
    <n v="120731.87214611872"/>
    <n v="0"/>
    <m/>
    <m/>
    <n v="-11668.127853881278"/>
    <m/>
    <s v="NO"/>
    <m/>
    <m/>
    <n v="-22066.666666666664"/>
    <n v="-1838.8888888888887"/>
    <m/>
    <s v="Straight line"/>
    <n v="0"/>
    <n v="-33734.794520547941"/>
    <m/>
    <m/>
    <m/>
    <m/>
    <n v="0"/>
    <n v="98665.205479452066"/>
    <n v="-11668.127853881278"/>
    <m/>
    <m/>
    <m/>
    <m/>
    <m/>
    <m/>
    <m/>
    <m/>
    <m/>
    <m/>
    <n v="0"/>
  </r>
  <r>
    <s v="1937"/>
    <s v="R32"/>
    <s v="PPE"/>
    <x v="0"/>
    <s v="MOV"/>
    <x v="0"/>
    <s v="OTH"/>
    <x v="1"/>
    <s v="OTH"/>
    <s v="Other Assets"/>
    <s v="Main offices"/>
    <s v="Main offices"/>
    <s v="OTH"/>
    <s v="Voice Monitor Head Sets"/>
    <s v="OTH"/>
    <m/>
    <s v="Voice Monitor Head Sets"/>
    <s v="Cost Model"/>
    <s v="Owned"/>
    <s v="Core"/>
    <x v="0"/>
    <s v="Finance and Administration : Asset Management"/>
    <s v="FX005002001000000000000000000000000"/>
    <s v="IA002015001018001001000000000000000000"/>
    <n v="1"/>
    <s v="19/09/2024"/>
    <d v="2024-09-19T00:00:00"/>
    <s v="NO"/>
    <s v="Yes"/>
    <d v="2025-03-31T00:00:00"/>
    <s v="NA - Actual Cost"/>
    <n v="6"/>
    <n v="0"/>
    <n v="0"/>
    <s v="No Change"/>
    <n v="193"/>
    <n v="0.52876712328767128"/>
    <n v="5.4712328767123291"/>
    <n v="0"/>
    <n v="5.4712328767123291"/>
    <n v="5.4712328767123291"/>
    <s v="13 - Very good (71-100%)"/>
    <m/>
    <s v="Actual Cost"/>
    <n v="8500"/>
    <m/>
    <m/>
    <m/>
    <m/>
    <n v="8500"/>
    <n v="7750.9132420091328"/>
    <n v="0"/>
    <m/>
    <m/>
    <n v="-749.08675799086757"/>
    <m/>
    <s v="NO"/>
    <m/>
    <m/>
    <n v="-1416.6666666666667"/>
    <n v="-118.05555555555556"/>
    <m/>
    <s v="Straight line"/>
    <n v="0"/>
    <n v="-2165.7534246575342"/>
    <m/>
    <m/>
    <m/>
    <m/>
    <n v="0"/>
    <n v="6334.2465753424658"/>
    <n v="-749.08675799086757"/>
    <m/>
    <m/>
    <m/>
    <m/>
    <m/>
    <m/>
    <m/>
    <m/>
    <m/>
    <m/>
    <n v="0"/>
  </r>
  <r>
    <s v="1940"/>
    <s v="R32"/>
    <s v="PPE"/>
    <x v="0"/>
    <s v="MOV"/>
    <x v="0"/>
    <s v="OTH"/>
    <x v="1"/>
    <s v="OTH"/>
    <s v="Other Assets"/>
    <s v="Main offices"/>
    <s v="Main offices"/>
    <s v="OTH"/>
    <s v=" Tripod"/>
    <s v="OTH"/>
    <m/>
    <s v=" Tripod"/>
    <s v="Cost Model"/>
    <s v="Owned"/>
    <s v="Core"/>
    <x v="0"/>
    <s v="Finance and Administration : Asset Management"/>
    <s v="FX005002001000000000000000000000000"/>
    <s v="IA002015001018001001000000000000000000"/>
    <n v="1"/>
    <s v="19/09/2024"/>
    <d v="2024-09-19T00:00:00"/>
    <s v="NO"/>
    <s v="Yes"/>
    <d v="2025-03-31T00:00:00"/>
    <s v="NA - Actual Cost"/>
    <n v="6"/>
    <n v="0"/>
    <n v="0"/>
    <s v="No Change"/>
    <n v="193"/>
    <n v="0.52876712328767128"/>
    <n v="5.4712328767123291"/>
    <n v="0"/>
    <n v="5.4712328767123291"/>
    <n v="5.4712328767123291"/>
    <s v="13 - Very good (71-100%)"/>
    <m/>
    <s v="Actual Cost"/>
    <n v="11400"/>
    <m/>
    <m/>
    <m/>
    <m/>
    <n v="11400"/>
    <n v="10395.342465753425"/>
    <n v="0"/>
    <m/>
    <m/>
    <n v="-1004.6575342465754"/>
    <m/>
    <s v="NO"/>
    <m/>
    <m/>
    <n v="-1900"/>
    <n v="-158.33333333333334"/>
    <m/>
    <s v="Straight line"/>
    <n v="0"/>
    <n v="-2904.6575342465753"/>
    <m/>
    <m/>
    <m/>
    <m/>
    <n v="0"/>
    <n v="8495.3424657534251"/>
    <n v="-1004.6575342465754"/>
    <m/>
    <m/>
    <m/>
    <m/>
    <m/>
    <m/>
    <m/>
    <m/>
    <m/>
    <m/>
    <n v="0"/>
  </r>
  <r>
    <s v="1907"/>
    <n v="32"/>
    <s v="PPE"/>
    <x v="0"/>
    <s v="MOV"/>
    <x v="0"/>
    <s v="OTH"/>
    <x v="1"/>
    <s v="OTH"/>
    <s v="Other Assets"/>
    <s v="Main offices"/>
    <s v="Main offices"/>
    <s v="OTH"/>
    <s v="Etra Lens"/>
    <s v="OTH"/>
    <m/>
    <s v="Etra Lens"/>
    <s v="Cost Model"/>
    <s v="Owned"/>
    <s v="Core"/>
    <x v="0"/>
    <s v="Finance and Administration : Asset Management"/>
    <s v="FX005002001000000000000000000000000"/>
    <s v="IA002015001018001001000000000000000000"/>
    <n v="1"/>
    <s v="19/09/2024"/>
    <d v="2024-09-19T00:00:00"/>
    <s v="NO"/>
    <s v="Yes"/>
    <d v="2025-03-31T00:00:00"/>
    <s v="NA - Actual Cost"/>
    <n v="6"/>
    <n v="0"/>
    <n v="0"/>
    <s v="No Change"/>
    <n v="193"/>
    <n v="0.52876712328767128"/>
    <n v="5.4712328767123291"/>
    <n v="0"/>
    <n v="5.4712328767123291"/>
    <n v="5.4712328767123291"/>
    <s v="13 - Very good (71-100%)"/>
    <m/>
    <s v="Actual Cost"/>
    <n v="10800"/>
    <m/>
    <m/>
    <m/>
    <m/>
    <n v="10800"/>
    <n v="9848.2191780821922"/>
    <n v="0"/>
    <m/>
    <m/>
    <n v="-951.78082191780823"/>
    <m/>
    <s v="NO"/>
    <m/>
    <m/>
    <n v="-1800"/>
    <n v="-150"/>
    <m/>
    <s v="Straight line"/>
    <n v="0"/>
    <n v="-2751.7808219178082"/>
    <m/>
    <m/>
    <m/>
    <m/>
    <n v="0"/>
    <n v="8048.2191780821922"/>
    <n v="-951.78082191780823"/>
    <m/>
    <m/>
    <m/>
    <m/>
    <m/>
    <m/>
    <m/>
    <m/>
    <m/>
    <m/>
    <n v="0"/>
  </r>
  <r>
    <s v="001649"/>
    <s v="R5"/>
    <s v="PPE"/>
    <x v="0"/>
    <s v="MOV"/>
    <x v="0"/>
    <s v="OTH"/>
    <x v="2"/>
    <s v="OTH"/>
    <s v="Other Assets"/>
    <s v="Main offices"/>
    <s v="Main offices"/>
    <s v="OTH"/>
    <s v="Lenovo Laptop J.Mlilo"/>
    <s v="OTH"/>
    <m/>
    <s v="Lenovo Laptop J.Mlilo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m/>
    <m/>
    <m/>
    <m/>
    <n v="0"/>
  </r>
  <r>
    <s v="001964"/>
    <s v="Open plan Risk "/>
    <s v="PPE"/>
    <x v="0"/>
    <s v="MOV"/>
    <x v="0"/>
    <s v="OTH"/>
    <x v="2"/>
    <s v="OTH"/>
    <s v="Other Assets"/>
    <s v="Main offices"/>
    <s v="Main offices"/>
    <s v="OTH"/>
    <s v="Lenovo- A.Mbuli"/>
    <s v="OTH"/>
    <m/>
    <s v="Lenovo- A.Mbuli"/>
    <s v="Cost Model"/>
    <s v="Owned"/>
    <s v="Core"/>
    <x v="0"/>
    <s v="Finance and Administration : Asset Management"/>
    <s v="FX005002001000000000000000000000000"/>
    <s v="IA002015001018001001000000000000000000"/>
    <n v="1"/>
    <s v="10/06/2024"/>
    <d v="2024-06-10T00:00:00"/>
    <s v="NO"/>
    <s v="Yes"/>
    <d v="2025-03-31T00:00:00"/>
    <s v="NA - Actual Cost"/>
    <n v="6"/>
    <n v="0"/>
    <n v="0"/>
    <s v="No Change"/>
    <n v="294"/>
    <n v="0.80547945205479454"/>
    <n v="5.1945205479452055"/>
    <n v="0"/>
    <n v="5.1945205479452055"/>
    <n v="5.1945205479452055"/>
    <s v="1 - Very good (71-100%)"/>
    <m/>
    <s v="Actual Cost"/>
    <n v="29000"/>
    <m/>
    <m/>
    <m/>
    <m/>
    <n v="29000"/>
    <n v="25106.849315068492"/>
    <n v="0"/>
    <m/>
    <m/>
    <n v="-3893.1506849315069"/>
    <m/>
    <s v="NO"/>
    <m/>
    <m/>
    <n v="-4833.333333333333"/>
    <n v="-402.77777777777777"/>
    <m/>
    <s v="Straight line"/>
    <n v="0"/>
    <n v="-8726.4840182648404"/>
    <m/>
    <m/>
    <m/>
    <m/>
    <n v="0"/>
    <n v="20273.51598173516"/>
    <n v="-3893.1506849315069"/>
    <m/>
    <m/>
    <m/>
    <m/>
    <m/>
    <m/>
    <s v="PW0DYF8082R700FESA"/>
    <m/>
    <m/>
    <m/>
    <n v="0"/>
  </r>
  <r>
    <s v="001955"/>
    <s v="Open plan finance "/>
    <s v="PPE"/>
    <x v="0"/>
    <s v="MOV"/>
    <x v="0"/>
    <s v="OTH"/>
    <x v="2"/>
    <s v="OTH"/>
    <s v="Other Assets"/>
    <s v="Main offices"/>
    <s v="Main offices"/>
    <s v="OTH"/>
    <s v="Lenovo Laptop - Lungile Zwane"/>
    <s v="OTH"/>
    <m/>
    <s v="Lenovo Laptop - Lungile Zwane"/>
    <s v="Cost Model"/>
    <s v="Owned"/>
    <s v="Core"/>
    <x v="0"/>
    <s v="Finance and Administration : Asset Management"/>
    <s v="FX005002001000000000000000000000000"/>
    <s v="IA002015001018001001000000000000000000"/>
    <n v="1"/>
    <s v="10/06/2024"/>
    <d v="2024-06-10T00:00:00"/>
    <s v="NO"/>
    <s v="Yes"/>
    <d v="2025-03-31T00:00:00"/>
    <s v="NA - Actual Cost"/>
    <n v="6"/>
    <n v="0"/>
    <n v="0"/>
    <s v="No Change"/>
    <n v="294"/>
    <n v="0.80547945205479454"/>
    <n v="5.1945205479452055"/>
    <n v="0"/>
    <n v="5.1945205479452055"/>
    <n v="5.1945205479452055"/>
    <s v="1 - Very good (71-100%)"/>
    <m/>
    <s v="Actual Cost"/>
    <n v="29000"/>
    <m/>
    <m/>
    <m/>
    <m/>
    <n v="29000"/>
    <n v="25106.849315068492"/>
    <n v="0"/>
    <m/>
    <m/>
    <n v="-3893.1506849315069"/>
    <m/>
    <s v="NO"/>
    <m/>
    <m/>
    <n v="-4833.333333333333"/>
    <n v="-402.77777777777777"/>
    <m/>
    <s v="Straight line"/>
    <n v="0"/>
    <n v="-8726.4840182648404"/>
    <m/>
    <m/>
    <m/>
    <m/>
    <n v="0"/>
    <n v="20273.51598173516"/>
    <n v="-3893.1506849315069"/>
    <m/>
    <m/>
    <m/>
    <m/>
    <m/>
    <m/>
    <s v="PW08SYQN82Y00054SA"/>
    <m/>
    <m/>
    <m/>
    <n v="0"/>
  </r>
  <r>
    <s v="001969"/>
    <s v="Open Plan co-business "/>
    <s v="PPE"/>
    <x v="0"/>
    <s v="MOV"/>
    <x v="0"/>
    <s v="OTH"/>
    <x v="2"/>
    <s v="OTH"/>
    <s v="Other Assets"/>
    <s v="Main offices"/>
    <s v="Main offices"/>
    <s v="OTH"/>
    <s v="Lenovo laptop- T.Maso"/>
    <s v="OTH"/>
    <m/>
    <s v="Lenovo laptop- T.Maso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s v="PW08AZ5682Y00054SA"/>
    <m/>
    <m/>
    <m/>
    <n v="0"/>
  </r>
  <r>
    <s v="001809"/>
    <s v="R17 server room"/>
    <s v="PPE"/>
    <x v="0"/>
    <s v="MOV"/>
    <x v="0"/>
    <s v="OTH"/>
    <x v="2"/>
    <s v="OTH"/>
    <s v="Other Assets"/>
    <s v="Main offices"/>
    <s v="Main offices"/>
    <s v="OTH"/>
    <s v="Server"/>
    <s v="OTH"/>
    <m/>
    <s v="Server"/>
    <s v="Cost Model"/>
    <s v="Owned"/>
    <s v="Core"/>
    <x v="0"/>
    <s v="Finance and Administration : Asset Management"/>
    <s v="FX005002001000000000000000000000000"/>
    <s v="IA002015001018001001000000000000000000"/>
    <n v="1"/>
    <m/>
    <m/>
    <s v="NO"/>
    <s v="Yes"/>
    <d v="2025-03-31T00:00:00"/>
    <s v="NA - Actual Cost"/>
    <n v="6"/>
    <n v="0"/>
    <n v="0"/>
    <s v="No Change"/>
    <n v="45747"/>
    <n v="125.33424657534246"/>
    <n v="-119.33424657534246"/>
    <n v="0"/>
    <n v="-119.33424657534246"/>
    <n v="-119.33424657534246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s v="PW0DYF7F"/>
    <m/>
    <m/>
    <m/>
    <n v="0"/>
  </r>
  <r>
    <s v="001850"/>
    <s v="R17 server room"/>
    <s v="PPE"/>
    <x v="0"/>
    <s v="MOV"/>
    <x v="0"/>
    <s v="OTH"/>
    <x v="2"/>
    <s v="OTH"/>
    <s v="Other Assets"/>
    <s v="Main offices"/>
    <s v="Main offices"/>
    <s v="OTH"/>
    <s v="Server"/>
    <s v="OTH"/>
    <m/>
    <s v="Server"/>
    <s v="Cost Model"/>
    <s v="Owned"/>
    <s v="Core"/>
    <x v="0"/>
    <s v="Finance and Administration : Asset Management"/>
    <s v="FX005002001000000000000000000000000"/>
    <s v="IA002015001018001001000000000000000000"/>
    <n v="1"/>
    <m/>
    <m/>
    <s v="NO"/>
    <s v="Yes"/>
    <d v="2025-03-31T00:00:00"/>
    <s v="NA - Actual Cost"/>
    <n v="6"/>
    <n v="0"/>
    <n v="0"/>
    <s v="No Change"/>
    <n v="45747"/>
    <n v="125.33424657534246"/>
    <n v="-119.33424657534246"/>
    <n v="0"/>
    <n v="-119.33424657534246"/>
    <n v="-119.33424657534246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m/>
    <m/>
    <m/>
    <m/>
    <n v="0"/>
  </r>
  <r>
    <s v="1886"/>
    <s v="R17 server room"/>
    <s v="PPE"/>
    <x v="0"/>
    <s v="MOV"/>
    <x v="0"/>
    <s v="OTH"/>
    <x v="2"/>
    <s v="OTH"/>
    <s v="Other Assets"/>
    <s v="Main offices"/>
    <s v="Main offices"/>
    <s v="OTH"/>
    <s v="Server"/>
    <s v="OTH"/>
    <m/>
    <s v="Server"/>
    <s v="Cost Model"/>
    <s v="Owned"/>
    <s v="Core"/>
    <x v="0"/>
    <s v="Finance and Administration : Asset Management"/>
    <s v="FX005002001000000000000000000000000"/>
    <s v="IA002015001018001001000000000000000000"/>
    <n v="1"/>
    <m/>
    <m/>
    <s v="NO"/>
    <s v="Yes"/>
    <d v="2025-03-31T00:00:00"/>
    <s v="NA - Actual Cost"/>
    <n v="6"/>
    <n v="0"/>
    <n v="0"/>
    <s v="No Change"/>
    <n v="45747"/>
    <n v="125.33424657534246"/>
    <n v="-119.33424657534246"/>
    <n v="0"/>
    <n v="-119.33424657534246"/>
    <n v="-119.33424657534246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m/>
    <m/>
    <m/>
    <m/>
    <n v="0"/>
  </r>
  <r>
    <s v="001664"/>
    <s v="R17 server room"/>
    <s v="PPE"/>
    <x v="0"/>
    <s v="MOV"/>
    <x v="0"/>
    <s v="OTH"/>
    <x v="2"/>
    <s v="OTH"/>
    <s v="Other Assets"/>
    <s v="Main offices"/>
    <s v="Main offices"/>
    <s v="OTH"/>
    <s v="Ubiquiti unifi switch pro server"/>
    <s v="OTH"/>
    <m/>
    <s v="Ubiquiti unifi switch pro server"/>
    <s v="Cost Model"/>
    <s v="Owned"/>
    <s v="Core"/>
    <x v="0"/>
    <s v="Finance and Administration : Asset Management"/>
    <s v="FX005002001000000000000000000000000"/>
    <s v="IA002015001018001001000000000000000000"/>
    <n v="1"/>
    <m/>
    <m/>
    <s v="NO"/>
    <s v="Yes"/>
    <d v="2025-03-31T00:00:00"/>
    <s v="NA - Actual Cost"/>
    <n v="6"/>
    <n v="0"/>
    <n v="0"/>
    <s v="No Change"/>
    <n v="45747"/>
    <n v="125.33424657534246"/>
    <n v="-119.33424657534246"/>
    <n v="0"/>
    <n v="-119.33424657534246"/>
    <n v="-119.33424657534246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m/>
    <m/>
    <m/>
    <m/>
    <n v="0"/>
  </r>
  <r>
    <s v="001663"/>
    <s v="R17 server room"/>
    <s v="PPE"/>
    <x v="0"/>
    <s v="MOV"/>
    <x v="0"/>
    <s v="OTH"/>
    <x v="2"/>
    <s v="OTH"/>
    <s v="Other Assets"/>
    <s v="Main offices"/>
    <s v="Main offices"/>
    <s v="OTH"/>
    <s v="Ubiquiti unifi switch pro 48 port 40PoE+ 8PoE++600w 4SFP + USW-Pro-48-POE"/>
    <s v="OTH"/>
    <m/>
    <s v="Ubiquiti unifi switch pro 48 port 40PoE+ 8PoE++600w 4SFP + USW-Pro-48-POE"/>
    <s v="Cost Model"/>
    <s v="Owned"/>
    <s v="Core"/>
    <x v="0"/>
    <s v="Finance and Administration : Asset Management"/>
    <s v="FX005002001000000000000000000000000"/>
    <s v="IA002015001018001001000000000000000000"/>
    <n v="1"/>
    <s v="27/08/2024"/>
    <d v="2024-08-27T00:00:00"/>
    <s v="NO"/>
    <s v="Yes"/>
    <d v="2025-03-31T00:00:00"/>
    <s v="NA - Actual Cost"/>
    <n v="6"/>
    <n v="0"/>
    <n v="0"/>
    <s v="No Change"/>
    <n v="216"/>
    <n v="0.59178082191780823"/>
    <n v="5.4082191780821915"/>
    <n v="0"/>
    <n v="5.4082191780821915"/>
    <n v="5.4082191780821915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m/>
    <m/>
    <m/>
    <m/>
    <n v="0"/>
  </r>
  <r>
    <s v="001662"/>
    <s v="R17 server room"/>
    <s v="PPE"/>
    <x v="0"/>
    <s v="MOV"/>
    <x v="0"/>
    <s v="OTH"/>
    <x v="2"/>
    <s v="OTH"/>
    <s v="Other Assets"/>
    <s v="Main offices"/>
    <s v="Main offices"/>
    <s v="OTH"/>
    <s v="Ubiquiti unifi switch pro 48 port 40PoE+ 8PoE++600w 4SFP + USW-Pro-48-POE"/>
    <s v="OTH"/>
    <m/>
    <s v="Ubiquiti unifi switch pro 48 port 40PoE+ 8PoE++600w 4SFP + USW-Pro-48-POE"/>
    <s v="Cost Model"/>
    <s v="Owned"/>
    <s v="Core"/>
    <x v="0"/>
    <s v="Finance and Administration : Asset Management"/>
    <s v="FX005002001000000000000000000000000"/>
    <s v="IA002015001018001001000000000000000000"/>
    <n v="1"/>
    <s v="27/08/2024"/>
    <d v="2024-08-27T00:00:00"/>
    <s v="NO"/>
    <s v="Yes"/>
    <d v="2025-03-31T00:00:00"/>
    <s v="NA - Actual Cost"/>
    <n v="6"/>
    <n v="0"/>
    <n v="0"/>
    <s v="No Change"/>
    <n v="216"/>
    <n v="0.59178082191780823"/>
    <n v="5.4082191780821915"/>
    <n v="0"/>
    <n v="5.4082191780821915"/>
    <n v="5.4082191780821915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m/>
    <m/>
    <m/>
    <m/>
    <n v="0"/>
  </r>
  <r>
    <s v="001661"/>
    <s v="R17 server room"/>
    <s v="PPE"/>
    <x v="0"/>
    <s v="MOV"/>
    <x v="0"/>
    <s v="OTH"/>
    <x v="2"/>
    <s v="OTH"/>
    <s v="Other Assets"/>
    <s v="Main offices"/>
    <s v="Main offices"/>
    <s v="OTH"/>
    <s v="Ubiquiti unifi switch pro 48 port 40PoE+ 8PoE++600w 4SFP + USW-Pro-48-POE"/>
    <s v="OTH"/>
    <m/>
    <s v="Ubiquiti unifi switch pro 48 port 40PoE+ 8PoE++600w 4SFP + USW-Pro-48-POE"/>
    <s v="Cost Model"/>
    <s v="Owned"/>
    <s v="Core"/>
    <x v="0"/>
    <s v="Finance and Administration : Asset Management"/>
    <s v="FX005002001000000000000000000000000"/>
    <s v="IA002015001018001001000000000000000000"/>
    <n v="1"/>
    <s v="27/08/2024"/>
    <d v="2024-08-27T00:00:00"/>
    <s v="NO"/>
    <s v="Yes"/>
    <d v="2025-03-31T00:00:00"/>
    <s v="NA - Actual Cost"/>
    <n v="6"/>
    <n v="0"/>
    <n v="0"/>
    <s v="No Change"/>
    <n v="216"/>
    <n v="0.59178082191780823"/>
    <n v="5.4082191780821915"/>
    <n v="0"/>
    <n v="5.4082191780821915"/>
    <n v="5.4082191780821915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m/>
    <m/>
    <m/>
    <m/>
    <n v="0"/>
  </r>
  <r>
    <s v="001882"/>
    <s v="R6"/>
    <s v="PPE"/>
    <x v="0"/>
    <s v="MOV"/>
    <x v="0"/>
    <s v="OTH"/>
    <x v="2"/>
    <s v="OTH"/>
    <s v="Other Assets"/>
    <s v="Main offices"/>
    <s v="Main offices"/>
    <s v="OTH"/>
    <s v="Lenovo Laptop"/>
    <s v="OTH"/>
    <m/>
    <s v="Lenovo Laptop"/>
    <s v="Cost Model"/>
    <s v="Owned"/>
    <s v="Core"/>
    <x v="0"/>
    <s v="Finance and Administration : Asset Management"/>
    <s v="FX005002001000000000000000000000000"/>
    <s v="IA002015001018001001000000000000000000"/>
    <n v="1"/>
    <m/>
    <m/>
    <s v="NO"/>
    <s v="Yes"/>
    <d v="2025-03-31T00:00:00"/>
    <s v="NA - Actual Cost"/>
    <n v="6"/>
    <n v="0"/>
    <n v="0"/>
    <s v="No Change"/>
    <n v="45747"/>
    <n v="125.33424657534246"/>
    <n v="-119.33424657534246"/>
    <n v="0"/>
    <n v="-119.33424657534246"/>
    <n v="-119.33424657534246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m/>
    <m/>
    <m/>
    <m/>
    <n v="0"/>
  </r>
  <r>
    <s v="001652"/>
    <s v="Open plan finance "/>
    <s v="PPE"/>
    <x v="0"/>
    <s v="MOV"/>
    <x v="0"/>
    <s v="OTH"/>
    <x v="2"/>
    <s v="OTH"/>
    <s v="Other Assets"/>
    <s v="Main offices"/>
    <s v="Main offices"/>
    <s v="OTH"/>
    <s v="Lenovo Laptop"/>
    <s v="OTH"/>
    <m/>
    <s v="Lenovo Laptop"/>
    <s v="Cost Model"/>
    <s v="Owned"/>
    <s v="Core"/>
    <x v="0"/>
    <s v="Finance and Administration : Asset Management"/>
    <s v="FX005002001000000000000000000000000"/>
    <s v="IA002015001018001001000000000000000000"/>
    <n v="1"/>
    <m/>
    <m/>
    <s v="NO"/>
    <s v="Yes"/>
    <d v="2025-03-31T00:00:00"/>
    <s v="NA - Actual Cost"/>
    <n v="6"/>
    <n v="0"/>
    <n v="0"/>
    <s v="No Change"/>
    <n v="45747"/>
    <n v="125.33424657534246"/>
    <n v="-119.33424657534246"/>
    <n v="0"/>
    <n v="-119.33424657534246"/>
    <n v="-119.33424657534246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m/>
    <m/>
    <m/>
    <m/>
    <n v="0"/>
  </r>
  <r>
    <s v="1660"/>
    <s v="Open plan Risk "/>
    <s v="PPE"/>
    <x v="0"/>
    <s v="MOV"/>
    <x v="0"/>
    <s v="OTH"/>
    <x v="1"/>
    <s v="OTH"/>
    <s v="Other Assets"/>
    <s v="Main offices"/>
    <s v="Main offices"/>
    <s v="OTH"/>
    <s v="UNI-FI WI-FI ROUTER"/>
    <s v="OTH"/>
    <m/>
    <s v="UNI-FI WI-FI ROUTER"/>
    <s v="Cost Model"/>
    <s v="Owned"/>
    <s v="Core"/>
    <x v="0"/>
    <s v="Finance and Administration : Asset Management"/>
    <s v="FX005002001000000000000000000000000"/>
    <s v="IA002015001018001001000000000000000000"/>
    <n v="1"/>
    <s v="27/08/2024"/>
    <d v="2024-08-27T00:00:00"/>
    <s v="NO"/>
    <s v="Yes"/>
    <d v="2025-03-31T00:00:00"/>
    <s v="NA - Actual Cost"/>
    <n v="6"/>
    <n v="0"/>
    <n v="0"/>
    <s v="No Change"/>
    <n v="216"/>
    <n v="0.59178082191780823"/>
    <n v="5.4082191780821915"/>
    <n v="0"/>
    <n v="5.4082191780821915"/>
    <n v="5.4082191780821915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s v="pW0DYF77PWN0B4A04008"/>
    <m/>
    <m/>
    <m/>
    <n v="0"/>
  </r>
  <r>
    <s v="1658"/>
    <s v="Open plan co-business "/>
    <s v="PPE"/>
    <x v="0"/>
    <s v="MOV"/>
    <x v="0"/>
    <s v="OTH"/>
    <x v="1"/>
    <s v="OTH"/>
    <s v="Other Assets"/>
    <s v="Main offices"/>
    <s v="Main offices"/>
    <s v="OTH"/>
    <s v="UNI-FI WI-FI ROUTER"/>
    <s v="OTH"/>
    <m/>
    <s v="UNI-FI WI-FI ROUTER"/>
    <s v="Cost Model"/>
    <s v="Owned"/>
    <s v="Core"/>
    <x v="0"/>
    <s v="Finance and Administration : Asset Management"/>
    <s v="FX005002001000000000000000000000000"/>
    <s v="IA002015001018001001000000000000000000"/>
    <n v="1"/>
    <s v="27/08/2024"/>
    <d v="2024-08-27T00:00:00"/>
    <s v="NO"/>
    <s v="Yes"/>
    <d v="2025-03-31T00:00:00"/>
    <s v="NA - Actual Cost"/>
    <n v="6"/>
    <n v="0"/>
    <n v="0"/>
    <s v="No Change"/>
    <n v="216"/>
    <n v="0.59178082191780823"/>
    <n v="5.4082191780821915"/>
    <n v="0"/>
    <n v="5.4082191780821915"/>
    <n v="5.4082191780821915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m/>
    <m/>
    <m/>
    <m/>
    <n v="0"/>
  </r>
  <r>
    <s v="1656"/>
    <s v="Open plan finance"/>
    <s v="PPE"/>
    <x v="0"/>
    <s v="MOV"/>
    <x v="0"/>
    <s v="OTH"/>
    <x v="1"/>
    <s v="OTH"/>
    <s v="Other Assets"/>
    <s v="Main offices"/>
    <s v="Main offices"/>
    <s v="OTH"/>
    <s v="UNI-FI WI-FI ROUTER"/>
    <s v="OTH"/>
    <m/>
    <s v="UNI-FI WI-FI ROUTER"/>
    <s v="Cost Model"/>
    <s v="Owned"/>
    <s v="Core"/>
    <x v="0"/>
    <s v="Finance and Administration : Asset Management"/>
    <s v="FX005002001000000000000000000000000"/>
    <s v="IA002015001018001001000000000000000000"/>
    <n v="1"/>
    <s v="27/08/2024"/>
    <d v="2024-08-27T00:00:00"/>
    <s v="NO"/>
    <s v="Yes"/>
    <d v="2025-03-31T00:00:00"/>
    <s v="NA - Actual Cost"/>
    <n v="6"/>
    <n v="0"/>
    <n v="0"/>
    <s v="No Change"/>
    <n v="216"/>
    <n v="0.59178082191780823"/>
    <n v="5.4082191780821915"/>
    <n v="0"/>
    <n v="5.4082191780821915"/>
    <n v="5.4082191780821915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m/>
    <m/>
    <m/>
    <m/>
    <n v="0"/>
  </r>
  <r>
    <s v="1654"/>
    <s v="Open plan finance"/>
    <s v="PPE"/>
    <x v="0"/>
    <s v="MOV"/>
    <x v="0"/>
    <s v="OTH"/>
    <x v="1"/>
    <s v="OTH"/>
    <s v="Other Assets"/>
    <s v="Main offices"/>
    <s v="Main offices"/>
    <s v="OTH"/>
    <s v="UNI-FI WI-FI ROUTER"/>
    <s v="OTH"/>
    <m/>
    <s v="UNI-FI WI-FI ROUTER"/>
    <s v="Cost Model"/>
    <s v="Owned"/>
    <s v="Core"/>
    <x v="0"/>
    <s v="Finance and Administration : Asset Management"/>
    <s v="FX005002001000000000000000000000000"/>
    <s v="IA002015001018001001000000000000000000"/>
    <n v="1"/>
    <s v="27/08/2024"/>
    <d v="2024-08-27T00:00:00"/>
    <s v="NO"/>
    <s v="Yes"/>
    <d v="2025-03-31T00:00:00"/>
    <s v="NA - Actual Cost"/>
    <n v="6"/>
    <n v="0"/>
    <n v="0"/>
    <s v="No Change"/>
    <n v="216"/>
    <n v="0.59178082191780823"/>
    <n v="5.4082191780821915"/>
    <n v="0"/>
    <n v="5.4082191780821915"/>
    <n v="5.4082191780821915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m/>
    <m/>
    <m/>
    <m/>
    <n v="0"/>
  </r>
  <r>
    <m/>
    <e v="#REF!"/>
    <s v="PPE"/>
    <x v="0"/>
    <s v="MOV"/>
    <x v="0"/>
    <s v="OTH"/>
    <x v="1"/>
    <s v="OTH"/>
    <s v="Other Assets"/>
    <s v="Main offices"/>
    <s v="Main offices"/>
    <s v="OTH"/>
    <s v="UNI-FI WI-FI ROUTER"/>
    <s v="OTH"/>
    <m/>
    <s v="UNI-FI WI-FI ROUTER"/>
    <s v="Cost Model"/>
    <s v="Owned"/>
    <s v="Core"/>
    <x v="0"/>
    <s v="Finance and Administration : Asset Management"/>
    <s v="FX005002001000000000000000000000000"/>
    <s v="IA002015001018001001000000000000000000"/>
    <n v="1"/>
    <s v="27/08/2024"/>
    <d v="2024-08-27T00:00:00"/>
    <s v="NO"/>
    <s v="Yes"/>
    <d v="2025-03-31T00:00:00"/>
    <s v="NA - Actual Cost"/>
    <n v="6"/>
    <n v="0"/>
    <n v="0"/>
    <s v="No Change"/>
    <n v="216"/>
    <n v="0.59178082191780823"/>
    <n v="5.4082191780821915"/>
    <n v="0"/>
    <n v="5.4082191780821915"/>
    <n v="5.4082191780821915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m/>
    <m/>
    <m/>
    <m/>
    <n v="0"/>
  </r>
  <r>
    <m/>
    <e v="#REF!"/>
    <s v="PPE"/>
    <x v="0"/>
    <s v="MOV"/>
    <x v="0"/>
    <s v="OTH"/>
    <x v="1"/>
    <s v="OTH"/>
    <s v="Other Assets"/>
    <s v="Main offices"/>
    <s v="Main offices"/>
    <s v="OTH"/>
    <s v="UNI-FI WI-FI ROUTER"/>
    <s v="OTH"/>
    <m/>
    <s v="UNI-FI WI-FI ROUTER"/>
    <s v="Cost Model"/>
    <s v="Owned"/>
    <s v="Core"/>
    <x v="0"/>
    <s v="Finance and Administration : Asset Management"/>
    <s v="FX005002001000000000000000000000000"/>
    <s v="IA002015001018001001000000000000000000"/>
    <n v="1"/>
    <s v="27/08/2024"/>
    <d v="2024-08-27T00:00:00"/>
    <s v="NO"/>
    <s v="Yes"/>
    <d v="2025-03-31T00:00:00"/>
    <s v="NA - Actual Cost"/>
    <n v="6"/>
    <n v="0"/>
    <n v="0"/>
    <s v="No Change"/>
    <n v="216"/>
    <n v="0.59178082191780823"/>
    <n v="5.4082191780821915"/>
    <n v="0"/>
    <n v="5.4082191780821915"/>
    <n v="5.4082191780821915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m/>
    <m/>
    <m/>
    <m/>
    <n v="0"/>
  </r>
  <r>
    <s v="001954"/>
    <s v="Open Plan HR"/>
    <s v="PPE"/>
    <x v="0"/>
    <s v="MOV"/>
    <x v="0"/>
    <s v="OTH"/>
    <x v="2"/>
    <s v="OTH"/>
    <s v="Other Assets"/>
    <s v="Main offices"/>
    <s v="Main offices"/>
    <s v="OTH"/>
    <s v="Lenovo Laptop"/>
    <s v="OTH"/>
    <m/>
    <s v="Lenovo Laptop"/>
    <s v="Cost Model"/>
    <s v="Owned"/>
    <s v="Core"/>
    <x v="0"/>
    <s v="Finance and Administration : Asset Management"/>
    <s v="FX005002001000000000000000000000000"/>
    <s v="IA002015001018001001000000000000000000"/>
    <n v="1"/>
    <s v="10/06/2024"/>
    <d v="2024-06-10T00:00:00"/>
    <s v="NO"/>
    <s v="Yes"/>
    <d v="2025-03-31T00:00:00"/>
    <s v="NA - Actual Cost"/>
    <n v="6"/>
    <n v="0"/>
    <n v="0"/>
    <s v="No Change"/>
    <n v="294"/>
    <n v="0.80547945205479454"/>
    <n v="5.1945205479452055"/>
    <n v="0"/>
    <n v="5.1945205479452055"/>
    <n v="5.1945205479452055"/>
    <s v="1 - Very good (71-100%)"/>
    <m/>
    <s v="Actual Cost"/>
    <n v="29000"/>
    <m/>
    <m/>
    <m/>
    <m/>
    <n v="29000"/>
    <n v="25106.849315068492"/>
    <n v="0"/>
    <m/>
    <m/>
    <n v="-3893.1506849315069"/>
    <m/>
    <s v="NO"/>
    <m/>
    <m/>
    <n v="-4833.333333333333"/>
    <n v="-402.77777777777777"/>
    <m/>
    <s v="Straight line"/>
    <n v="0"/>
    <n v="-8726.4840182648404"/>
    <m/>
    <m/>
    <m/>
    <m/>
    <n v="0"/>
    <n v="20273.51598173516"/>
    <n v="-3893.1506849315069"/>
    <m/>
    <m/>
    <m/>
    <m/>
    <m/>
    <m/>
    <m/>
    <m/>
    <m/>
    <m/>
    <n v="0"/>
  </r>
  <r>
    <s v="1965"/>
    <s v="Open plan finance"/>
    <s v="PPE"/>
    <x v="0"/>
    <s v="MOV"/>
    <x v="0"/>
    <s v="OTH"/>
    <x v="2"/>
    <s v="OTH"/>
    <s v="Other Assets"/>
    <s v="Main offices"/>
    <s v="Main offices"/>
    <s v="OTH"/>
    <s v="Lenovo Laptop - Sindisiwe Zawana"/>
    <s v="OTH"/>
    <m/>
    <s v="Lenovo Laptop - Sindisiwe Zawana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m/>
    <m/>
    <m/>
    <m/>
    <n v="0"/>
  </r>
  <r>
    <s v="002000"/>
    <s v="Server room finance"/>
    <s v="PPE"/>
    <x v="0"/>
    <s v="MOV"/>
    <x v="0"/>
    <s v="OTH"/>
    <x v="2"/>
    <s v="OTH"/>
    <s v="Other Assets"/>
    <s v="Main offices"/>
    <s v="Main offices"/>
    <s v="OTH"/>
    <s v="Lenovo laptop-N. Gawula"/>
    <s v="OTH"/>
    <m/>
    <s v="Lenovo laptop-N. Gawula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m/>
    <m/>
    <m/>
    <m/>
    <n v="0"/>
  </r>
  <r>
    <s v="001968"/>
    <s v="Open Plan finance"/>
    <s v="PPE"/>
    <x v="0"/>
    <s v="MOV"/>
    <x v="0"/>
    <s v="OTH"/>
    <x v="2"/>
    <s v="OTH"/>
    <s v="Other Assets"/>
    <s v="Main offices"/>
    <s v="Main offices"/>
    <s v="OTH"/>
    <s v="Lenovo Laptop"/>
    <s v="OTH"/>
    <m/>
    <s v="Lenovo Laptop"/>
    <s v="Cost Model"/>
    <s v="Owned"/>
    <s v="Core"/>
    <x v="0"/>
    <s v="Finance and Administration : Asset Management"/>
    <s v="FX005002001000000000000000000000000"/>
    <s v="IA002015001018001001000000000000000000"/>
    <n v="1"/>
    <m/>
    <m/>
    <s v="NO"/>
    <s v="Yes"/>
    <d v="2025-03-31T00:00:00"/>
    <s v="NA - Actual Cost"/>
    <n v="6"/>
    <n v="0"/>
    <n v="0"/>
    <s v="No Change"/>
    <n v="45747"/>
    <n v="125.33424657534246"/>
    <n v="-119.33424657534246"/>
    <n v="0"/>
    <n v="-119.33424657534246"/>
    <n v="-119.33424657534246"/>
    <s v="2 - Good  (46-70%)"/>
    <m/>
    <s v="Actual Cost"/>
    <m/>
    <m/>
    <m/>
    <m/>
    <m/>
    <m/>
    <n v="0"/>
    <n v="0"/>
    <m/>
    <m/>
    <n v="0"/>
    <m/>
    <s v="NO"/>
    <m/>
    <m/>
    <n v="0"/>
    <n v="0"/>
    <m/>
    <s v="Straight line"/>
    <n v="0"/>
    <n v="0"/>
    <m/>
    <m/>
    <m/>
    <m/>
    <n v="0"/>
    <n v="0"/>
    <n v="0"/>
    <m/>
    <m/>
    <m/>
    <m/>
    <m/>
    <m/>
    <m/>
    <m/>
    <m/>
    <m/>
    <n v="0"/>
  </r>
  <r>
    <s v="001637"/>
    <s v="Server room finance"/>
    <s v="PPE"/>
    <x v="0"/>
    <s v="MOV"/>
    <x v="0"/>
    <s v="OTH"/>
    <x v="2"/>
    <s v="OTH"/>
    <s v="Other Assets"/>
    <s v="Main offices"/>
    <s v="Main offices"/>
    <s v="OTH"/>
    <s v="Lenovo laptop-N. Gawula"/>
    <s v="OTH"/>
    <m/>
    <s v="Lenovo laptop-N. Gawula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m/>
    <m/>
    <m/>
    <m/>
    <n v="0"/>
  </r>
  <r>
    <s v="001551"/>
    <s v="Server room finance"/>
    <s v="PPE"/>
    <x v="0"/>
    <s v="MOV"/>
    <x v="0"/>
    <s v="OTH"/>
    <x v="2"/>
    <s v="OTH"/>
    <s v="Other Assets"/>
    <s v="Main offices"/>
    <s v="Main offices"/>
    <s v="OTH"/>
    <s v="Lenovo laptop-N. Gawula"/>
    <s v="OTH"/>
    <m/>
    <s v="Lenovo laptop-N. Gawula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m/>
    <m/>
    <m/>
    <m/>
    <n v="0"/>
  </r>
  <r>
    <s v="001563"/>
    <s v="Server room finance"/>
    <s v="PPE"/>
    <x v="0"/>
    <s v="MOV"/>
    <x v="0"/>
    <s v="OTH"/>
    <x v="2"/>
    <s v="OTH"/>
    <s v="Other Assets"/>
    <s v="Main offices"/>
    <s v="Main offices"/>
    <s v="OTH"/>
    <s v="Lenovo laptop-N. Gawula"/>
    <s v="OTH"/>
    <m/>
    <s v="Lenovo laptop-N. Gawula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m/>
    <m/>
    <m/>
    <m/>
    <n v="0"/>
  </r>
  <r>
    <s v="001527"/>
    <s v="Server room finance"/>
    <s v="PPE"/>
    <x v="0"/>
    <s v="MOV"/>
    <x v="0"/>
    <s v="OTH"/>
    <x v="2"/>
    <s v="OTH"/>
    <s v="Other Assets"/>
    <s v="Main offices"/>
    <s v="Main offices"/>
    <s v="OTH"/>
    <s v="Lenovo laptop-N. Gawula"/>
    <s v="OTH"/>
    <m/>
    <s v="Lenovo laptop-N. Gawula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s v="pW082B01PWN0B3A10004"/>
    <m/>
    <m/>
    <m/>
    <n v="0"/>
  </r>
  <r>
    <s v="001979"/>
    <s v="Server room finance"/>
    <s v="PPE"/>
    <x v="0"/>
    <s v="MOV"/>
    <x v="0"/>
    <s v="OTH"/>
    <x v="2"/>
    <s v="OTH"/>
    <s v="Other Assets"/>
    <s v="Main offices"/>
    <s v="Main offices"/>
    <s v="OTH"/>
    <s v="Lenovo laptop-N. Gawula"/>
    <s v="OTH"/>
    <m/>
    <s v="Lenovo laptop-N. Gawula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s v="PW08SYRY"/>
    <m/>
    <m/>
    <m/>
    <n v="0"/>
  </r>
  <r>
    <s v="001923"/>
    <s v="Server room finance"/>
    <s v="PPE"/>
    <x v="0"/>
    <s v="MOV"/>
    <x v="0"/>
    <s v="OTH"/>
    <x v="2"/>
    <s v="OTH"/>
    <s v="Other Assets"/>
    <s v="Main offices"/>
    <s v="Main offices"/>
    <s v="OTH"/>
    <s v="Lenovo laptop-N. Gawula"/>
    <s v="OTH"/>
    <m/>
    <s v="Lenovo laptop-N. Gawula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s v="pW0DYF7SPWN0B4A04008"/>
    <m/>
    <m/>
    <m/>
    <n v="0"/>
  </r>
  <r>
    <s v="001528"/>
    <s v="Server room finance"/>
    <s v="PPE"/>
    <x v="0"/>
    <s v="MOV"/>
    <x v="0"/>
    <s v="OTH"/>
    <x v="2"/>
    <s v="OTH"/>
    <s v="Other Assets"/>
    <s v="Main offices"/>
    <s v="Main offices"/>
    <s v="OTH"/>
    <s v="Lenovo laptop-N. Gawula"/>
    <s v="OTH"/>
    <m/>
    <s v="Lenovo laptop-N. Gawula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m/>
    <m/>
    <m/>
    <m/>
    <n v="0"/>
  </r>
  <r>
    <s v="001996"/>
    <s v="Server room finance"/>
    <s v="PPE"/>
    <x v="0"/>
    <s v="MOV"/>
    <x v="0"/>
    <s v="OTH"/>
    <x v="2"/>
    <s v="OTH"/>
    <s v="Other Assets"/>
    <s v="Main offices"/>
    <s v="Main offices"/>
    <s v="OTH"/>
    <s v="Lenovo laptop-N. Gawula"/>
    <s v="OTH"/>
    <m/>
    <s v="Lenovo laptop-N. Gawula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m/>
    <m/>
    <m/>
    <m/>
    <n v="0"/>
  </r>
  <r>
    <s v="001539"/>
    <s v="Server room finance"/>
    <s v="PPE"/>
    <x v="0"/>
    <s v="MOV"/>
    <x v="0"/>
    <s v="OTH"/>
    <x v="2"/>
    <s v="OTH"/>
    <s v="Other Assets"/>
    <s v="Main offices"/>
    <s v="Main offices"/>
    <s v="OTH"/>
    <s v="Lenovo laptop-N. Gawula"/>
    <s v="OTH"/>
    <m/>
    <s v="Lenovo laptop-N. Gawula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m/>
    <m/>
    <m/>
    <m/>
    <n v="0"/>
  </r>
  <r>
    <s v="001531"/>
    <s v="Server room finance"/>
    <s v="PPE"/>
    <x v="0"/>
    <s v="MOV"/>
    <x v="0"/>
    <s v="OTH"/>
    <x v="2"/>
    <s v="OTH"/>
    <s v="Other Assets"/>
    <s v="Main offices"/>
    <s v="Main offices"/>
    <s v="OTH"/>
    <s v="Lenovo laptop-N. Gawula"/>
    <s v="OTH"/>
    <m/>
    <s v="Lenovo laptop-N. Gawula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m/>
    <m/>
    <m/>
    <m/>
    <n v="0"/>
  </r>
  <r>
    <s v="001560"/>
    <s v="Server room finance"/>
    <s v="PPE"/>
    <x v="0"/>
    <s v="MOV"/>
    <x v="0"/>
    <s v="OTH"/>
    <x v="2"/>
    <s v="OTH"/>
    <s v="Other Assets"/>
    <s v="Main offices"/>
    <s v="Main offices"/>
    <s v="OTH"/>
    <s v="Lenovo laptop-N. Gawula"/>
    <s v="OTH"/>
    <m/>
    <s v="Lenovo laptop-N. Gawula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s v="pW0DYF7ZPWN0B4A04008"/>
    <m/>
    <m/>
    <m/>
    <n v="0"/>
  </r>
  <r>
    <s v="001829"/>
    <s v="Server room finance"/>
    <s v="PPE"/>
    <x v="0"/>
    <s v="MOV"/>
    <x v="0"/>
    <s v="OTH"/>
    <x v="2"/>
    <s v="OTH"/>
    <s v="Other Assets"/>
    <s v="Main offices"/>
    <s v="Main offices"/>
    <s v="OTH"/>
    <s v="Lenovo laptop-N. Gawula"/>
    <s v="OTH"/>
    <m/>
    <s v="Lenovo laptop-N. Gawula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5798.79406392694"/>
    <n v="0"/>
    <m/>
    <m/>
    <n v="-492.20593607305932"/>
    <m/>
    <s v="NO"/>
    <m/>
    <m/>
    <n v="-4381.833333333333"/>
    <n v="-365.15277777777777"/>
    <m/>
    <s v="Straight line"/>
    <n v="0"/>
    <n v="-4874.0392694063921"/>
    <m/>
    <m/>
    <m/>
    <m/>
    <n v="0"/>
    <n v="21416.960730593608"/>
    <n v="-492.20593607305932"/>
    <m/>
    <m/>
    <m/>
    <m/>
    <m/>
    <m/>
    <s v="pW0DYF7QPWN0B4A04008"/>
    <m/>
    <m/>
    <m/>
    <n v="0"/>
  </r>
  <r>
    <s v="001700"/>
    <s v="Server room finance"/>
    <s v="PPE"/>
    <x v="0"/>
    <s v="MOV"/>
    <x v="0"/>
    <s v="OTH"/>
    <x v="2"/>
    <s v="OTH"/>
    <s v="Other Assets"/>
    <s v="Main offices"/>
    <s v="Main offices"/>
    <s v="OTH"/>
    <s v="Lenovo laptop-N. Gawula"/>
    <s v="OTH"/>
    <m/>
    <s v="Lenovo laptop-N. Gawula"/>
    <s v="Cost Model"/>
    <s v="Owned"/>
    <s v="Core"/>
    <x v="0"/>
    <s v="Finance and Administration : Asset Management"/>
    <s v="FX005002001000000000000000000000000"/>
    <s v="IA002015001018001001000000000000000000"/>
    <n v="1"/>
    <s v="18/02/2025"/>
    <d v="2025-02-18T00:00:00"/>
    <s v="NO"/>
    <s v="Yes"/>
    <d v="2025-03-31T00:00:00"/>
    <s v="NA - Actual Cost"/>
    <n v="6"/>
    <n v="0"/>
    <n v="0"/>
    <s v="No Change"/>
    <n v="41"/>
    <n v="0.11232876712328767"/>
    <n v="5.8876712328767127"/>
    <n v="0"/>
    <n v="5.8876712328767127"/>
    <n v="5.8876712328767127"/>
    <s v="1 - Very good (71-100%)"/>
    <m/>
    <s v="Actual Cost"/>
    <n v="26291"/>
    <m/>
    <m/>
    <m/>
    <m/>
    <n v="26291"/>
    <n v="26291"/>
    <n v="0"/>
    <m/>
    <m/>
    <n v="0"/>
    <m/>
    <s v="NO"/>
    <m/>
    <m/>
    <n v="-4465.4327594229871"/>
    <n v="-372.11939661858224"/>
    <m/>
    <s v="Straight line"/>
    <n v="0"/>
    <n v="-4465.4327594229871"/>
    <m/>
    <m/>
    <m/>
    <m/>
    <n v="0"/>
    <n v="21825.567240577013"/>
    <n v="0"/>
    <m/>
    <m/>
    <m/>
    <m/>
    <m/>
    <m/>
    <s v="pW0DYF72PWN0B4A04008"/>
    <m/>
    <m/>
    <m/>
    <n v="0"/>
  </r>
  <r>
    <s v="001960"/>
    <s v="ICT Room"/>
    <s v="PPE"/>
    <x v="0"/>
    <s v="MOV"/>
    <x v="0"/>
    <s v="OTH"/>
    <x v="2"/>
    <s v="OTH"/>
    <s v="Other Assets"/>
    <s v="Main offices"/>
    <s v="Main offices"/>
    <s v="OTH"/>
    <s v="Lenovo Laptop - Andiswa Mbuli"/>
    <s v="OTH"/>
    <m/>
    <s v="Lenovo Laptop - Andiswa Mbuli"/>
    <s v="Cost Model"/>
    <s v="Owned"/>
    <s v="Core"/>
    <x v="0"/>
    <s v="Finance and Administration : Asset Management"/>
    <s v="FX005002001000000000000000000000000"/>
    <s v="IA002015001018001001000000000000000000"/>
    <n v="1"/>
    <s v="10/06/2024"/>
    <d v="2024-06-10T00:00:00"/>
    <s v="NO"/>
    <s v="Yes"/>
    <d v="2025-03-31T00:00:00"/>
    <s v="NA - Actual Cost"/>
    <n v="6"/>
    <n v="0"/>
    <n v="0"/>
    <s v="No Change"/>
    <n v="294"/>
    <n v="0.80547945205479454"/>
    <n v="5.1945205479452055"/>
    <n v="0"/>
    <n v="5.1945205479452055"/>
    <n v="5.1945205479452055"/>
    <s v="1 - Very good (71-100%)"/>
    <m/>
    <s v="Actual Cost"/>
    <n v="29000"/>
    <m/>
    <m/>
    <m/>
    <m/>
    <n v="29000"/>
    <n v="25106.849315068492"/>
    <n v="0"/>
    <m/>
    <m/>
    <n v="-3893.1506849315069"/>
    <m/>
    <s v="NO"/>
    <m/>
    <m/>
    <n v="-4833.333333333333"/>
    <n v="-402.77777777777777"/>
    <m/>
    <s v="Straight line"/>
    <n v="0"/>
    <n v="-8726.4840182648404"/>
    <m/>
    <m/>
    <m/>
    <m/>
    <n v="0"/>
    <n v="20273.51598173516"/>
    <m/>
    <m/>
    <s v="PW08SYQN82Y00054SA"/>
    <m/>
    <m/>
    <m/>
    <m/>
    <m/>
    <m/>
    <m/>
    <m/>
    <n v="0"/>
  </r>
  <r>
    <s v="001968"/>
    <s v="Open Plan Finance"/>
    <s v="PPE"/>
    <x v="0"/>
    <s v="MOV"/>
    <x v="0"/>
    <s v="OTH"/>
    <x v="2"/>
    <s v="OTH"/>
    <s v="Other Assets"/>
    <s v="Main offices"/>
    <s v="Main offices"/>
    <s v="OTH"/>
    <s v="Lenovo Laptop - Kleinbooi Mashilo"/>
    <s v="OTH"/>
    <m/>
    <s v="Lenovo Laptop - Kleinbooi Mashilo"/>
    <s v="Cost Model"/>
    <s v="Owned"/>
    <s v="Core"/>
    <x v="0"/>
    <s v="Finance and Administration : Asset Management"/>
    <s v="FX005002001000000000000000000000000"/>
    <s v="IA002015001018001001000000000000000000"/>
    <n v="1"/>
    <s v="10/06/2024"/>
    <d v="2024-06-10T00:00:00"/>
    <s v="NO"/>
    <s v="Yes"/>
    <d v="2025-03-31T00:00:00"/>
    <s v="NA - Actual Cost"/>
    <n v="6"/>
    <n v="0"/>
    <n v="0"/>
    <s v="No Change"/>
    <n v="294"/>
    <n v="0.80547945205479454"/>
    <n v="5.1945205479452055"/>
    <n v="0"/>
    <n v="5.1945205479452055"/>
    <n v="5.1945205479452055"/>
    <s v="1 - Very good (71-100%)"/>
    <m/>
    <s v="Actual Cost"/>
    <n v="29000"/>
    <m/>
    <m/>
    <m/>
    <m/>
    <n v="29000"/>
    <n v="25106.849315068492"/>
    <n v="0"/>
    <m/>
    <m/>
    <n v="-3893.1506849315069"/>
    <m/>
    <s v="NO"/>
    <m/>
    <m/>
    <n v="-4833.333333333333"/>
    <n v="-402.77777777777777"/>
    <m/>
    <s v="Straight line"/>
    <n v="0"/>
    <n v="-8726.4840182648404"/>
    <m/>
    <m/>
    <m/>
    <m/>
    <n v="0"/>
    <n v="20273.51598173516"/>
    <m/>
    <m/>
    <s v="PW08SYQN82Y00054SA"/>
    <m/>
    <m/>
    <m/>
    <m/>
    <m/>
    <m/>
    <m/>
    <m/>
    <n v="0"/>
  </r>
  <r>
    <s v="001948"/>
    <s v="CEO"/>
    <s v="PPE"/>
    <x v="0"/>
    <s v="MOV"/>
    <x v="0"/>
    <s v="OTH"/>
    <x v="2"/>
    <s v="OTH"/>
    <s v="Other Assets"/>
    <s v="Main offices"/>
    <s v="Main offices"/>
    <s v="OTH"/>
    <s v="Macbook - CM Chairperson Edgar"/>
    <s v="OTH"/>
    <m/>
    <s v="Macbook - CM Chairperson Edgar"/>
    <s v="Cost Model"/>
    <s v="Owned"/>
    <s v="Core"/>
    <x v="0"/>
    <s v="Finance and Administration : Asset Management"/>
    <s v="FX005002001000000000000000000000000"/>
    <s v="IA002015001018001001000000000000000000"/>
    <n v="1"/>
    <s v="10/06/2024"/>
    <d v="2024-06-10T00:00:00"/>
    <s v="NO"/>
    <s v="Yes"/>
    <d v="2025-03-31T00:00:00"/>
    <s v="NA - Actual Cost"/>
    <n v="6"/>
    <n v="0"/>
    <n v="0"/>
    <s v="No Change"/>
    <n v="294"/>
    <n v="0.80547945205479454"/>
    <n v="5.1945205479452055"/>
    <n v="0"/>
    <n v="5.1945205479452055"/>
    <n v="5.1945205479452055"/>
    <s v="1 - Very good (71-100%)"/>
    <m/>
    <s v="Actual Cost"/>
    <n v="52000"/>
    <m/>
    <m/>
    <n v="0"/>
    <m/>
    <n v="52000"/>
    <n v="8900"/>
    <m/>
    <m/>
    <m/>
    <n v="-6980.821917808219"/>
    <m/>
    <s v="NO"/>
    <m/>
    <m/>
    <n v="-1713.3438818565401"/>
    <n v="-142.77865682137835"/>
    <m/>
    <s v="Straight line"/>
    <n v="0"/>
    <n v="-8694.1657996647591"/>
    <n v="-36119.178082191778"/>
    <n v="0"/>
    <m/>
    <m/>
    <n v="-36119.178082191778"/>
    <n v="7186.6561181434663"/>
    <n v="-6980.821917808219"/>
    <m/>
    <m/>
    <m/>
    <m/>
    <m/>
    <s v="CEO - Edger"/>
    <m/>
    <m/>
    <m/>
    <m/>
    <n v="0"/>
  </r>
  <r>
    <n v="1976"/>
    <n v="2"/>
    <s v="PPE"/>
    <x v="0"/>
    <s v="MOV"/>
    <x v="0"/>
    <s v="OTH"/>
    <x v="2"/>
    <s v="OTH"/>
    <s v="Other Assets"/>
    <s v="Main offices"/>
    <s v="Main offices"/>
    <s v="OTH"/>
    <s v="Macbook - Nceba Gawula"/>
    <s v="OTH"/>
    <m/>
    <s v="Macbook - Nceba Gawula"/>
    <s v="Cost Model"/>
    <s v="Owned"/>
    <s v="Core"/>
    <x v="0"/>
    <s v="Finance and Administration : Asset Management"/>
    <s v="FX005002001000000000000000000000000"/>
    <s v="IA002015001018001001000000000000000000"/>
    <n v="1"/>
    <s v="10/06/2024"/>
    <d v="2024-06-10T00:00:00"/>
    <s v="NO"/>
    <s v="Yes"/>
    <d v="2025-03-31T00:00:00"/>
    <s v="NA - Actual Cost"/>
    <n v="6"/>
    <n v="0"/>
    <n v="0"/>
    <s v="No Change"/>
    <n v="294"/>
    <n v="0.80547945205479454"/>
    <n v="5.1945205479452055"/>
    <n v="0"/>
    <n v="5.1945205479452055"/>
    <n v="5.1945205479452055"/>
    <s v="1 - Very good (71-100%)"/>
    <m/>
    <s v="Actual Cost"/>
    <n v="52000"/>
    <m/>
    <m/>
    <n v="0"/>
    <m/>
    <n v="52000"/>
    <n v="45019.178082191778"/>
    <m/>
    <m/>
    <m/>
    <n v="-6980.821917808219"/>
    <m/>
    <s v="NO"/>
    <m/>
    <m/>
    <n v="-8666.6666666666661"/>
    <n v="-722.22222222222217"/>
    <m/>
    <s v="Straight line"/>
    <m/>
    <n v="-15647.488584474886"/>
    <m/>
    <m/>
    <m/>
    <m/>
    <n v="0"/>
    <n v="36352.511415525114"/>
    <n v="-6980.821917808219"/>
    <m/>
    <m/>
    <m/>
    <m/>
    <m/>
    <m/>
    <m/>
    <m/>
    <m/>
    <m/>
    <n v="0"/>
  </r>
  <r>
    <s v="001970"/>
    <s v="CM"/>
    <s v="PPE"/>
    <x v="0"/>
    <s v="MOV"/>
    <x v="0"/>
    <s v="OTH"/>
    <x v="2"/>
    <s v="OTH"/>
    <s v="Other Assets"/>
    <s v="Main offices"/>
    <s v="Main offices"/>
    <s v="OTH"/>
    <s v="Macbook - CM Chairperson Masemola"/>
    <s v="OTH"/>
    <m/>
    <s v="Macbook - CM Chairperson Masemola"/>
    <s v="Cost Model"/>
    <s v="Owned"/>
    <s v="Core"/>
    <x v="0"/>
    <s v="Finance and Administration : Asset Management"/>
    <s v="FX005002001000000000000000000000000"/>
    <s v="IA002015001018001001000000000000000000"/>
    <n v="1"/>
    <s v="10/06/2024"/>
    <d v="2024-06-10T00:00:00"/>
    <s v="NO"/>
    <s v="Yes"/>
    <d v="2025-03-31T00:00:00"/>
    <s v="NA - Actual Cost"/>
    <n v="6"/>
    <n v="0"/>
    <n v="0"/>
    <s v="No Change"/>
    <n v="294"/>
    <n v="0.80547945205479454"/>
    <n v="5.1945205479452055"/>
    <n v="0"/>
    <n v="5.1945205479452055"/>
    <n v="5.1945205479452055"/>
    <s v="1 - Very good (71-100%)"/>
    <m/>
    <s v="Actual Cost"/>
    <n v="52000"/>
    <m/>
    <m/>
    <n v="0"/>
    <m/>
    <n v="52000"/>
    <n v="45019.178082191778"/>
    <m/>
    <m/>
    <m/>
    <n v="-6980.821917808219"/>
    <m/>
    <s v="NO"/>
    <m/>
    <m/>
    <n v="-8666.6666666666661"/>
    <n v="-722.22222222222217"/>
    <m/>
    <s v="Straight line"/>
    <m/>
    <n v="-15647.488584474886"/>
    <m/>
    <m/>
    <m/>
    <m/>
    <n v="0"/>
    <n v="36352.511415525114"/>
    <n v="-6980.821917808219"/>
    <m/>
    <m/>
    <m/>
    <m/>
    <m/>
    <m/>
    <m/>
    <m/>
    <m/>
    <m/>
    <n v="0"/>
  </r>
  <r>
    <m/>
    <s v="Server room finance"/>
    <s v="PPE"/>
    <x v="0"/>
    <s v="MOV"/>
    <x v="0"/>
    <s v="OTH"/>
    <x v="2"/>
    <s v="OTH"/>
    <s v="Other Assets"/>
    <s v="Main offices"/>
    <s v="Main offices"/>
    <s v="OTH"/>
    <s v="Server Equipment"/>
    <s v="OTH"/>
    <m/>
    <s v="Server Equipment"/>
    <s v="Cost Model"/>
    <s v="Owned"/>
    <s v="Core"/>
    <x v="0"/>
    <s v="Finance and Administration : Asset Management"/>
    <s v="FX005002001000000000000000000000000"/>
    <s v="IA002015001018001001000000000000000000"/>
    <n v="1"/>
    <s v="27/08/2024"/>
    <d v="2024-08-27T00:00:00"/>
    <s v="NO"/>
    <s v="Yes"/>
    <d v="2025-03-31T00:00:00"/>
    <s v="NA - Actual Cost"/>
    <n v="6"/>
    <n v="0"/>
    <n v="0"/>
    <s v="No Change"/>
    <n v="216"/>
    <n v="0.59178082191780823"/>
    <n v="5.4082191780821915"/>
    <n v="0"/>
    <n v="5.4082191780821915"/>
    <n v="5.4082191780821915"/>
    <s v="1 - Very good (71-100%)"/>
    <m/>
    <s v="Actual Cost"/>
    <n v="4633070.9064999996"/>
    <m/>
    <m/>
    <n v="0"/>
    <m/>
    <n v="4633070.9064999996"/>
    <n v="4176110.4883246571"/>
    <m/>
    <m/>
    <m/>
    <n v="-456960.41817534243"/>
    <m/>
    <s v="NO"/>
    <m/>
    <m/>
    <n v="-772178.48441666667"/>
    <n v="-64348.207034722225"/>
    <m/>
    <s v="Straight line"/>
    <m/>
    <n v="-1229138.9025920092"/>
    <m/>
    <m/>
    <m/>
    <m/>
    <n v="0"/>
    <n v="3403932.0039079906"/>
    <n v="-456960.41817534243"/>
    <m/>
    <m/>
    <m/>
    <m/>
    <m/>
    <m/>
    <m/>
    <m/>
    <m/>
    <m/>
    <n v="0"/>
  </r>
  <r>
    <s v="001957"/>
    <s v="CM"/>
    <s v="PPE"/>
    <x v="0"/>
    <s v="MOV"/>
    <x v="0"/>
    <s v="OTH"/>
    <x v="2"/>
    <s v="OTH"/>
    <s v="Other Assets"/>
    <s v="Main offices"/>
    <s v="Main offices"/>
    <s v="OTH"/>
    <s v="Macbook - Bongiwe Mthombeni"/>
    <s v="OTH"/>
    <m/>
    <s v="Macbook - Bongiwe Mthombeni"/>
    <s v="Cost Model"/>
    <s v="Owned"/>
    <s v="Core"/>
    <x v="0"/>
    <s v="Finance and Administration : Asset Management"/>
    <s v="FX005002001000000000000000000000000"/>
    <s v="IA002015001018001001000000000000000000"/>
    <n v="1"/>
    <s v="10/06/2024"/>
    <d v="2024-06-10T00:00:00"/>
    <s v="NO"/>
    <s v="Yes"/>
    <d v="2025-03-31T00:00:00"/>
    <s v="NA - Actual Cost"/>
    <n v="6"/>
    <n v="0"/>
    <n v="0"/>
    <s v="No Change"/>
    <n v="294"/>
    <n v="0.80547945205479454"/>
    <n v="5.1945205479452055"/>
    <n v="0"/>
    <n v="5.1945205479452055"/>
    <n v="5.1945205479452055"/>
    <s v="1 - Very good (71-100%)"/>
    <m/>
    <s v="Actual Cost"/>
    <n v="52000"/>
    <m/>
    <m/>
    <n v="0"/>
    <m/>
    <n v="52000"/>
    <n v="45019.178082191778"/>
    <m/>
    <m/>
    <m/>
    <n v="-6980.821917808219"/>
    <m/>
    <s v="NO"/>
    <m/>
    <m/>
    <n v="-8666.6666666666661"/>
    <n v="-722.22222222222217"/>
    <m/>
    <s v="Straight line"/>
    <m/>
    <n v="-15647.488584474886"/>
    <m/>
    <m/>
    <m/>
    <m/>
    <n v="0"/>
    <n v="36352.511415525114"/>
    <n v="-6980.821917808219"/>
    <m/>
    <m/>
    <m/>
    <m/>
    <m/>
    <m/>
    <m/>
    <m/>
    <m/>
    <m/>
    <n v="0"/>
  </r>
  <r>
    <n v="1401"/>
    <s v="Open plan finance "/>
    <s v="PPE"/>
    <x v="0"/>
    <s v="MOV"/>
    <x v="0"/>
    <s v="OTH"/>
    <x v="2"/>
    <s v="OTH"/>
    <s v="Other Assets"/>
    <s v="Main offices"/>
    <s v="Main offices"/>
    <s v="OTH"/>
    <s v="DELL LAPTOP/Tshepo"/>
    <s v="OTH"/>
    <m/>
    <s v="DELL LAPTOP/Tshepo"/>
    <s v="Cost Model"/>
    <s v="Owned"/>
    <s v="Core"/>
    <x v="0"/>
    <s v="Finance and Administration : Asset Management"/>
    <s v="FX005002001000000000000000000000000"/>
    <s v="IA002015001018001001000000000000000000"/>
    <n v="1"/>
    <s v="12/01/2022"/>
    <d v="2022-01-12T00:00:00"/>
    <s v="NO"/>
    <s v="Yes"/>
    <d v="2022-03-31T00:00:00"/>
    <s v="NA - Actual Cost"/>
    <n v="3"/>
    <n v="0"/>
    <n v="0"/>
    <s v="No Change"/>
    <m/>
    <m/>
    <n v="2.536986301369863"/>
    <m/>
    <n v="3.536986301369863"/>
    <n v="2.536986301369863"/>
    <s v="2 - Good  (46-70%)"/>
    <m/>
    <s v="Actual Cost"/>
    <n v="30630.25"/>
    <m/>
    <n v="0"/>
    <n v="0"/>
    <n v="0"/>
    <n v="30630.25"/>
    <n v="12362.14958087073"/>
    <m/>
    <m/>
    <m/>
    <n v="-18268.10041912927"/>
    <m/>
    <s v="NO"/>
    <m/>
    <m/>
    <n v="-3495.1081309200745"/>
    <n v="-291.25901091000623"/>
    <m/>
    <s v="Straight line"/>
    <m/>
    <n v="-21763.208550049345"/>
    <m/>
    <m/>
    <m/>
    <m/>
    <n v="0"/>
    <n v="8867.0414499506551"/>
    <m/>
    <m/>
    <m/>
    <m/>
    <m/>
    <m/>
    <s v="Tshepo"/>
    <m/>
    <m/>
    <m/>
    <m/>
    <n v="0"/>
  </r>
  <r>
    <s v="Summit Place 3"/>
    <n v="0"/>
    <s v="PPE"/>
    <x v="0"/>
    <s v="MOV"/>
    <x v="0"/>
    <s v="OTH"/>
    <x v="4"/>
    <s v="OTH"/>
    <s v="Other Assets"/>
    <s v="Main offices"/>
    <s v="Main offices"/>
    <s v="OTH"/>
    <s v="BUILDING ENHANCEMENT - SUMMIT PLACE"/>
    <s v="OTH"/>
    <m/>
    <s v="BUILDING ENHANCEMENT - SUMMIT PLACE"/>
    <s v="Cost Model"/>
    <s v="Owned"/>
    <s v="Core"/>
    <x v="0"/>
    <s v="Finance and Administration : Asset Management"/>
    <s v="FX005002001000000000000000000000000"/>
    <s v="IA002015001018001001000000000000000000"/>
    <n v="1"/>
    <s v="01/06/2024"/>
    <d v="2024-06-01T00:00:00"/>
    <s v="NO"/>
    <s v="Yes"/>
    <d v="2025-03-31T00:00:00"/>
    <s v="NA - Actual Cost"/>
    <n v="5"/>
    <n v="0"/>
    <n v="0"/>
    <s v="No Change"/>
    <n v="303"/>
    <n v="0.83013698630136989"/>
    <n v="4.1698630136986301"/>
    <n v="0"/>
    <n v="4.1698630136986301"/>
    <n v="4.1698630136986301"/>
    <s v="1 - Very good (71-100%)"/>
    <m/>
    <s v="Actual Cost"/>
    <n v="4729676.1274999995"/>
    <m/>
    <m/>
    <n v="0"/>
    <m/>
    <n v="4729676.1274999995"/>
    <n v="3944420.3101671226"/>
    <m/>
    <m/>
    <m/>
    <n v="-785255.81733287673"/>
    <m/>
    <s v="NO"/>
    <m/>
    <m/>
    <n v="-945935.22549999983"/>
    <n v="-78827.935458333319"/>
    <m/>
    <s v="Straight line"/>
    <n v="0"/>
    <n v="-1731191.0428328766"/>
    <m/>
    <m/>
    <m/>
    <m/>
    <n v="0"/>
    <n v="2998485.0846671229"/>
    <n v="-785255.81733287673"/>
    <m/>
    <m/>
    <m/>
    <m/>
    <m/>
    <m/>
    <m/>
    <m/>
    <m/>
    <m/>
    <n v="0"/>
  </r>
  <r>
    <m/>
    <s v="Council chamber"/>
    <s v="PPE"/>
    <x v="0"/>
    <s v="MOV"/>
    <x v="0"/>
    <s v="OTH"/>
    <x v="2"/>
    <s v="OTH"/>
    <s v="Other Assets"/>
    <s v="Main offices"/>
    <s v="Main offices"/>
    <s v="OTH"/>
    <m/>
    <s v="OTH"/>
    <m/>
    <m/>
    <s v="Cost Model"/>
    <s v="Owned"/>
    <s v="Core"/>
    <x v="0"/>
    <s v="Finance and Administration : Asset Management"/>
    <s v="FX005002001000000000000000000000000"/>
    <s v="IA002015001018001001000000000000000000"/>
    <n v="1"/>
    <d v="2025-06-03T00:00:00"/>
    <d v="2025-06-03T00:00:00"/>
    <s v="NO"/>
    <s v="Yes"/>
    <d v="2025-03-31T00:00:00"/>
    <s v="NA - Actual Cost"/>
    <n v="5"/>
    <n v="0"/>
    <n v="0"/>
    <s v="No Change"/>
    <n v="64"/>
    <n v="0.17534246575342466"/>
    <m/>
    <m/>
    <n v="0"/>
    <n v="4.8246575342465752"/>
    <s v="1 - Very good (71-100%)"/>
    <m/>
    <s v="Actual Cost"/>
    <m/>
    <n v="10728.35"/>
    <m/>
    <m/>
    <m/>
    <n v="10728.35"/>
    <n v="0"/>
    <m/>
    <m/>
    <m/>
    <n v="0"/>
    <m/>
    <s v="NO"/>
    <m/>
    <m/>
    <n v="-376.22706849315068"/>
    <n v="-31.352255707762556"/>
    <m/>
    <s v="Straight line"/>
    <m/>
    <n v="-376.22706849315068"/>
    <m/>
    <m/>
    <m/>
    <m/>
    <n v="0"/>
    <n v="10352.12293150685"/>
    <n v="0"/>
    <m/>
    <m/>
    <m/>
    <m/>
    <m/>
    <m/>
    <m/>
    <m/>
    <m/>
    <m/>
    <m/>
  </r>
  <r>
    <m/>
    <m/>
    <m/>
    <x v="1"/>
    <m/>
    <x v="1"/>
    <m/>
    <x v="5"/>
    <m/>
    <m/>
    <m/>
    <m/>
    <m/>
    <m/>
    <m/>
    <m/>
    <m/>
    <m/>
    <m/>
    <m/>
    <x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n v="0"/>
    <m/>
    <m/>
    <m/>
    <m/>
    <m/>
    <m/>
    <m/>
    <m/>
    <n v="0"/>
    <m/>
    <n v="0"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400-000000000000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5" indent="0" compact="0" compactData="0" multipleFieldFilters="0">
  <location ref="A3:T10" firstHeaderRow="0" firstDataRow="1" firstDataCol="3"/>
  <pivotFields count="83"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items count="3">
        <item x="0"/>
        <item x="1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name="Asset Category" axis="axisRow" compact="0" outline="0" subtotalTop="0" showAll="0">
      <items count="6">
        <item h="1" m="1" x="4"/>
        <item h="1" m="1" x="2"/>
        <item h="1" x="1"/>
        <item x="0"/>
        <item m="1" x="3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name="Asset Sub Category" axis="axisRow" compact="0" outline="0" subtotalTop="0" showAll="0" defaultSubtotal="0">
      <items count="35">
        <item m="1" x="9"/>
        <item m="1" x="20"/>
        <item m="1" x="6"/>
        <item m="1" x="25"/>
        <item m="1" x="26"/>
        <item m="1" x="8"/>
        <item m="1" x="31"/>
        <item m="1" x="14"/>
        <item m="1" x="16"/>
        <item m="1" x="11"/>
        <item m="1" x="34"/>
        <item x="5"/>
        <item m="1" x="28"/>
        <item m="1" x="18"/>
        <item m="1" x="21"/>
        <item x="0"/>
        <item x="2"/>
        <item m="1" x="15"/>
        <item x="3"/>
        <item m="1" x="12"/>
        <item m="1" x="22"/>
        <item m="1" x="17"/>
        <item m="1" x="19"/>
        <item m="1" x="32"/>
        <item m="1" x="27"/>
        <item m="1" x="24"/>
        <item m="1" x="33"/>
        <item m="1" x="10"/>
        <item m="1" x="7"/>
        <item m="1" x="29"/>
        <item m="1" x="13"/>
        <item m="1" x="30"/>
        <item x="4"/>
        <item x="1"/>
        <item m="1" x="2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>
      <items count="25">
        <item m="1" x="4"/>
        <item m="1" x="8"/>
        <item m="1" x="19"/>
        <item m="1" x="6"/>
        <item m="1" x="18"/>
        <item m="1" x="20"/>
        <item m="1" x="10"/>
        <item m="1" x="3"/>
        <item m="1" x="5"/>
        <item m="1" x="12"/>
        <item m="1" x="2"/>
        <item m="1" x="16"/>
        <item m="1" x="14"/>
        <item x="1"/>
        <item m="1" x="7"/>
        <item m="1" x="9"/>
        <item m="1" x="22"/>
        <item m="1" x="21"/>
        <item m="1" x="23"/>
        <item m="1" x="11"/>
        <item m="1" x="15"/>
        <item x="0"/>
        <item m="1" x="17"/>
        <item m="1" x="13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69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68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numFmtId="165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5"/>
    <field x="7"/>
    <field x="20"/>
  </rowFields>
  <rowItems count="7">
    <i>
      <x v="3"/>
      <x v="15"/>
      <x v="21"/>
    </i>
    <i r="1">
      <x v="16"/>
      <x v="21"/>
    </i>
    <i r="1">
      <x v="18"/>
      <x v="21"/>
    </i>
    <i r="1">
      <x v="32"/>
      <x v="21"/>
    </i>
    <i r="1">
      <x v="33"/>
      <x v="21"/>
    </i>
    <i t="default">
      <x v="3"/>
    </i>
    <i t="grand">
      <x/>
    </i>
  </rowItems>
  <colFields count="1">
    <field x="-2"/>
  </colFields>
  <colItems count="17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</colItems>
  <dataFields count="17">
    <dataField name="Sum of Cost Price (opening balance)" fld="44" baseField="0" baseItem="0"/>
    <dataField name="Sum of Accumulated depreciation (Opening balance)" fld="54" baseField="0" baseItem="0"/>
    <dataField name="Sum of Accumulated impairments (Opening balance)" fld="65" baseField="0" baseItem="0"/>
    <dataField name="Sum of Carrying value (opening balance)" fld="50" baseField="0" baseItem="0"/>
    <dataField name="Sum of Change in Accounting Policy" fld="56" baseField="0" baseItem="0"/>
    <dataField name="Sum of Revaluation Adjustment Cost" fld="46" baseField="0" baseItem="0"/>
    <dataField name="Sum of Correction of RUL errors" fld="58" baseField="0" baseItem="0"/>
    <dataField name="Sum of Additions capitalised (@actual cost)" fld="45" baseField="0" baseItem="0"/>
    <dataField name="Sum of Derecognitions [-]" fld="47" baseField="0" baseItem="0"/>
    <dataField name="Sum of Derecognition Impairment balance [+]" fld="68" baseField="0" baseItem="0"/>
    <dataField name="Sum of Derecognitions (acc dep) [+]" fld="63" baseField="0" baseItem="0"/>
    <dataField name="Sum of Annual impairment" fld="67" baseField="0" baseItem="0"/>
    <dataField name="Sum of Depreciation YTD" fld="59" baseField="0" baseItem="0"/>
    <dataField name="Sum of Cost Price (closing balance)" fld="49" baseField="0" baseItem="0"/>
    <dataField name="Sum of Accumulated depreciation (Closing balance)" fld="64" baseField="0" baseItem="0"/>
    <dataField name="Sum of Accumulated impairments (Closing balance)" fld="69" baseField="0" baseItem="0"/>
    <dataField name="Sum of Carrying value (closing balance)" fld="70" baseField="0" baseItem="0"/>
  </dataFields>
  <formats count="68">
    <format dxfId="4">
      <pivotArea dataOnly="0" labelOnly="1" outline="0" fieldPosition="0">
        <references count="1">
          <reference field="4294967294" count="16">
            <x v="0"/>
            <x v="1"/>
            <x v="2"/>
            <x v="3"/>
            <x v="4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">
      <pivotArea field="3" type="button" dataOnly="0" labelOnly="1" outline="0"/>
    </format>
    <format dxfId="6">
      <pivotArea dataOnly="0" labelOnly="1" grandRow="1" outline="0" fieldPosition="0"/>
    </format>
    <format dxfId="7">
      <pivotArea outline="0" collapsedLevelsAreSubtotals="1" fieldPosition="0"/>
    </format>
    <format dxfId="8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  <format dxfId="9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  <format dxfId="10">
      <pivotArea type="all" dataOnly="0" outline="0" fieldPosition="0"/>
    </format>
    <format dxfId="11">
      <pivotArea outline="0" collapsedLevelsAreSubtotals="1" fieldPosition="0"/>
    </format>
    <format dxfId="12">
      <pivotArea field="3" type="button" dataOnly="0" labelOnly="1" outline="0"/>
    </format>
    <format dxfId="13">
      <pivotArea dataOnly="0" labelOnly="1" grandRow="1" outline="0" fieldPosition="0"/>
    </format>
    <format dxfId="14">
      <pivotArea dataOnly="0" labelOnly="1" outline="0" fieldPosition="0">
        <references count="1">
          <reference field="4294967294" count="16">
            <x v="0"/>
            <x v="1"/>
            <x v="2"/>
            <x v="3"/>
            <x v="4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15">
      <pivotArea type="all" dataOnly="0" outline="0" fieldPosition="0"/>
    </format>
    <format dxfId="16">
      <pivotArea outline="0" collapsedLevelsAreSubtotals="1" fieldPosition="0"/>
    </format>
    <format dxfId="17">
      <pivotArea field="3" type="button" dataOnly="0" labelOnly="1" outline="0"/>
    </format>
    <format dxfId="18">
      <pivotArea dataOnly="0" labelOnly="1" grandRow="1" outline="0" fieldPosition="0"/>
    </format>
    <format dxfId="19">
      <pivotArea dataOnly="0" labelOnly="1" outline="0" fieldPosition="0">
        <references count="1">
          <reference field="4294967294" count="16">
            <x v="0"/>
            <x v="1"/>
            <x v="2"/>
            <x v="3"/>
            <x v="4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20">
      <pivotArea field="3" type="button" dataOnly="0" labelOnly="1" outline="0"/>
    </format>
    <format dxfId="21">
      <pivotArea dataOnly="0" labelOnly="1" outline="0" fieldPosition="0">
        <references count="1">
          <reference field="4294967294" count="16">
            <x v="0"/>
            <x v="1"/>
            <x v="2"/>
            <x v="3"/>
            <x v="4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22">
      <pivotArea field="3" type="button" dataOnly="0" labelOnly="1" outline="0"/>
    </format>
    <format dxfId="23">
      <pivotArea dataOnly="0" labelOnly="1" outline="0" fieldPosition="0">
        <references count="1">
          <reference field="4294967294" count="16">
            <x v="0"/>
            <x v="1"/>
            <x v="2"/>
            <x v="3"/>
            <x v="4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24">
      <pivotArea grandRow="1" outline="0" collapsedLevelsAreSubtotals="1" fieldPosition="0"/>
    </format>
    <format dxfId="25">
      <pivotArea dataOnly="0" labelOnly="1" grandRow="1" outline="0" fieldPosition="0"/>
    </format>
    <format dxfId="26">
      <pivotArea outline="0" collapsedLevelsAreSubtotals="1" fieldPosition="0"/>
    </format>
    <format dxfId="27">
      <pivotArea field="3" type="button" dataOnly="0" labelOnly="1" outline="0"/>
    </format>
    <format dxfId="28">
      <pivotArea dataOnly="0" labelOnly="1" outline="0" fieldPosition="0">
        <references count="1">
          <reference field="4294967294" count="16">
            <x v="0"/>
            <x v="1"/>
            <x v="2"/>
            <x v="3"/>
            <x v="4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29">
      <pivotArea dataOnly="0" labelOnly="1" grandRow="1" outline="0" fieldPosition="0"/>
    </format>
    <format dxfId="30">
      <pivotArea field="3" type="button" dataOnly="0" labelOnly="1" outline="0"/>
    </format>
    <format dxfId="31">
      <pivotArea field="20" type="button" dataOnly="0" labelOnly="1" outline="0" axis="axisRow" fieldPosition="2"/>
    </format>
    <format dxfId="32">
      <pivotArea field="3" type="button" dataOnly="0" labelOnly="1" outline="0"/>
    </format>
    <format dxfId="33">
      <pivotArea field="20" type="button" dataOnly="0" labelOnly="1" outline="0" axis="axisRow" fieldPosition="2"/>
    </format>
    <format dxfId="34">
      <pivotArea field="3" type="button" dataOnly="0" labelOnly="1" outline="0"/>
    </format>
    <format dxfId="35">
      <pivotArea dataOnly="0" labelOnly="1" outline="0" fieldPosition="0">
        <references count="1">
          <reference field="4294967294" count="16">
            <x v="0"/>
            <x v="1"/>
            <x v="2"/>
            <x v="3"/>
            <x v="4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36">
      <pivotArea type="all" dataOnly="0" outline="0" fieldPosition="0"/>
    </format>
    <format dxfId="37">
      <pivotArea outline="0" collapsedLevelsAreSubtotals="1" fieldPosition="0"/>
    </format>
    <format dxfId="38">
      <pivotArea field="3" type="button" dataOnly="0" labelOnly="1" outline="0"/>
    </format>
    <format dxfId="39">
      <pivotArea dataOnly="0" labelOnly="1" grandRow="1" outline="0" fieldPosition="0"/>
    </format>
    <format dxfId="40">
      <pivotArea dataOnly="0" labelOnly="1" outline="0" fieldPosition="0">
        <references count="1">
          <reference field="4294967294" count="16">
            <x v="0"/>
            <x v="1"/>
            <x v="2"/>
            <x v="3"/>
            <x v="4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41">
      <pivotArea dataOnly="0" labelOnly="1" outline="0" fieldPosition="0">
        <references count="1">
          <reference field="4294967294" count="8">
            <x v="4"/>
            <x v="6"/>
            <x v="7"/>
            <x v="8"/>
            <x v="9"/>
            <x v="10"/>
            <x v="11"/>
            <x v="12"/>
          </reference>
        </references>
      </pivotArea>
    </format>
    <format dxfId="42">
      <pivotArea dataOnly="0" labelOnly="1" outline="0" fieldPosition="0">
        <references count="1">
          <reference field="4294967294" count="8">
            <x v="4"/>
            <x v="6"/>
            <x v="7"/>
            <x v="8"/>
            <x v="9"/>
            <x v="10"/>
            <x v="11"/>
            <x v="12"/>
          </reference>
        </references>
      </pivotArea>
    </format>
    <format dxfId="43">
      <pivotArea dataOnly="0" labelOnly="1" outline="0" fieldPosition="0">
        <references count="1">
          <reference field="4294967294" count="4">
            <x v="13"/>
            <x v="14"/>
            <x v="15"/>
            <x v="16"/>
          </reference>
        </references>
      </pivotArea>
    </format>
    <format dxfId="44">
      <pivotArea field="3" type="button" dataOnly="0" labelOnly="1" outline="0"/>
    </format>
    <format dxfId="45">
      <pivotArea field="5" type="button" dataOnly="0" labelOnly="1" outline="0" axis="axisRow" fieldPosition="0"/>
    </format>
    <format dxfId="46">
      <pivotArea dataOnly="0" labelOnly="1" outline="0" fieldPosition="0">
        <references count="1">
          <reference field="4294967294" count="16">
            <x v="0"/>
            <x v="1"/>
            <x v="2"/>
            <x v="3"/>
            <x v="4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47">
      <pivotArea field="3" type="button" dataOnly="0" labelOnly="1" outline="0"/>
    </format>
    <format dxfId="48">
      <pivotArea field="3" type="button" dataOnly="0" labelOnly="1" outline="0"/>
    </format>
    <format dxfId="49">
      <pivotArea field="5" type="button" dataOnly="0" labelOnly="1" outline="0" axis="axisRow" fieldPosition="0"/>
    </format>
    <format dxfId="50">
      <pivotArea dataOnly="0" labelOnly="1" outline="0" fieldPosition="0">
        <references count="1">
          <reference field="4294967294" count="16">
            <x v="0"/>
            <x v="1"/>
            <x v="2"/>
            <x v="3"/>
            <x v="4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1">
      <pivotArea field="20" type="button" dataOnly="0" labelOnly="1" outline="0" axis="axisRow" fieldPosition="2"/>
    </format>
    <format dxfId="52">
      <pivotArea field="5" type="button" dataOnly="0" labelOnly="1" outline="0" axis="axisRow" fieldPosition="0"/>
    </format>
    <format dxfId="53">
      <pivotArea field="20" type="button" dataOnly="0" labelOnly="1" outline="0" axis="axisRow" fieldPosition="2"/>
    </format>
    <format dxfId="54">
      <pivotArea dataOnly="0" labelOnly="1" outline="0" fieldPosition="0">
        <references count="1">
          <reference field="4294967294" count="16">
            <x v="0"/>
            <x v="1"/>
            <x v="2"/>
            <x v="3"/>
            <x v="4"/>
            <x v="6"/>
            <x v="7"/>
            <x v="8"/>
            <x v="9"/>
            <x v="10"/>
            <x v="11"/>
            <x v="12"/>
            <x v="13"/>
            <x v="14"/>
            <x v="15"/>
            <x v="16"/>
          </reference>
        </references>
      </pivotArea>
    </format>
    <format dxfId="55">
      <pivotArea field="5" type="button" dataOnly="0" labelOnly="1" outline="0" axis="axisRow" fieldPosition="0"/>
    </format>
    <format dxfId="56">
      <pivotArea field="7" type="button" dataOnly="0" labelOnly="1" outline="0" axis="axisRow" fieldPosition="1"/>
    </format>
    <format dxfId="57">
      <pivotArea field="20" type="button" dataOnly="0" labelOnly="1" outline="0" axis="axisRow" fieldPosition="2"/>
    </format>
    <format dxfId="58">
      <pivotArea dataOnly="0" labelOnly="1" outline="0" fieldPosition="0">
        <references count="1">
          <reference field="4294967294" count="8">
            <x v="4"/>
            <x v="6"/>
            <x v="7"/>
            <x v="8"/>
            <x v="9"/>
            <x v="10"/>
            <x v="11"/>
            <x v="12"/>
          </reference>
        </references>
      </pivotArea>
    </format>
    <format dxfId="59">
      <pivotArea dataOnly="0" labelOnly="1" outline="0" fieldPosition="0">
        <references count="1">
          <reference field="4294967294" count="4">
            <x v="13"/>
            <x v="14"/>
            <x v="15"/>
            <x v="16"/>
          </reference>
        </references>
      </pivotArea>
    </format>
    <format dxfId="60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  <format dxfId="61">
      <pivotArea dataOnly="0" labelOnly="1" outline="0" fieldPosition="0">
        <references count="1">
          <reference field="4294967294" count="8">
            <x v="4"/>
            <x v="6"/>
            <x v="7"/>
            <x v="8"/>
            <x v="9"/>
            <x v="10"/>
            <x v="11"/>
            <x v="12"/>
          </reference>
        </references>
      </pivotArea>
    </format>
    <format dxfId="62">
      <pivotArea dataOnly="0" labelOnly="1" outline="0" fieldPosition="0">
        <references count="1">
          <reference field="4294967294" count="4">
            <x v="13"/>
            <x v="14"/>
            <x v="15"/>
            <x v="16"/>
          </reference>
        </references>
      </pivotArea>
    </format>
    <format dxfId="63">
      <pivotArea outline="0" fieldPosition="0">
        <references count="1">
          <reference field="5" count="0" selected="0" defaultSubtotal="1"/>
        </references>
      </pivotArea>
    </format>
    <format dxfId="64">
      <pivotArea dataOnly="0" labelOnly="1" outline="0" fieldPosition="0">
        <references count="1">
          <reference field="5" count="0" defaultSubtotal="1"/>
        </references>
      </pivotArea>
    </format>
    <format dxfId="65">
      <pivotArea dataOnly="0" labelOnly="1" outline="0" fieldPosition="0">
        <references count="1">
          <reference field="5" count="0"/>
        </references>
      </pivotArea>
    </format>
    <format dxfId="66">
      <pivotArea outline="0" fieldPosition="0">
        <references count="4">
          <reference field="4294967294" count="1" selected="0">
            <x v="4"/>
          </reference>
          <reference field="5" count="0" selected="0"/>
          <reference field="7" count="0" selected="0"/>
          <reference field="20" count="0" selected="0"/>
        </references>
      </pivotArea>
    </format>
    <format dxfId="67">
      <pivotArea outline="0" fieldPosition="0">
        <references count="4">
          <reference field="4294967294" count="1" selected="0">
            <x v="13"/>
          </reference>
          <reference field="5" count="0" selected="0"/>
          <reference field="7" count="0" selected="0"/>
          <reference field="20" count="0" selected="0"/>
        </references>
      </pivotArea>
    </format>
    <format dxfId="68">
      <pivotArea field="7" type="button" dataOnly="0" labelOnly="1" outline="0" axis="axisRow" fieldPosition="1"/>
    </format>
    <format dxfId="69">
      <pivotArea outline="0" fieldPosition="0">
        <references count="4">
          <reference field="4294967294" count="1" selected="0">
            <x v="16"/>
          </reference>
          <reference field="5" count="0" selected="0"/>
          <reference field="7" count="5" selected="0">
            <x v="15"/>
            <x v="16"/>
            <x v="18"/>
            <x v="32"/>
            <x v="33"/>
          </reference>
          <reference field="20" count="1" selected="0">
            <x v="21"/>
          </reference>
        </references>
      </pivotArea>
    </format>
    <format dxfId="70">
      <pivotArea dataOnly="0" labelOnly="1" outline="0" fieldPosition="0">
        <references count="1">
          <reference field="4294967294" count="8">
            <x v="4"/>
            <x v="6"/>
            <x v="7"/>
            <x v="8"/>
            <x v="9"/>
            <x v="10"/>
            <x v="11"/>
            <x v="12"/>
          </reference>
        </references>
      </pivotArea>
    </format>
    <format dxfId="71">
      <pivotArea dataOnly="0" labelOnly="1" outline="0" fieldPosition="0">
        <references count="1">
          <reference field="4294967294" count="1">
            <x v="5"/>
          </reference>
        </references>
      </pivotArea>
    </format>
  </formats>
  <pivotTableStyleInfo name="PivotStyleMedium6 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7ED9116-E797-421E-937B-D21DDC9FDF70}" name="Table2" displayName="Table2" ref="A3:CE359" totalsRowShown="0">
  <autoFilter ref="A3:CE359" xr:uid="{57ED9116-E797-421E-937B-D21DDC9FDF70}"/>
  <tableColumns count="83">
    <tableColumn id="1" xr3:uid="{F768513B-4A5E-4FF6-A8BE-C35F75FF6913}" name="Component ID/ Bar code"/>
    <tableColumn id="2" xr3:uid="{FF3563B1-4DDA-472E-9550-69469ABAA3EE}" name="ROOM ID"/>
    <tableColumn id="3" xr3:uid="{689101B3-C920-431A-B56E-D026AFDAE944}" name="Code1"/>
    <tableColumn id="4" xr3:uid="{3F06D449-3311-4C80-8B2C-A05135F93CB9}" name="Accounting Group (Level 1)"/>
    <tableColumn id="5" xr3:uid="{8AC1B593-7089-4768-B92F-6D41F877A1CE}" name="Code2"/>
    <tableColumn id="6" xr3:uid="{F5D61FA3-E767-41C0-B290-8176801B5D4B}" name="Asset Category (Level 2)"/>
    <tableColumn id="7" xr3:uid="{F5E4F31E-079A-4B01-BEA5-E9D58711B6D4}" name="Code3"/>
    <tableColumn id="8" xr3:uid="{AEE79810-27EA-4671-8B74-200A6A33F296}" name="Asset Sub Category (Level 3)"/>
    <tableColumn id="9" xr3:uid="{C598368A-63E9-4B8B-9FA2-5B0E7ABA801C}" name="Code4"/>
    <tableColumn id="10" xr3:uid="{7F2BA522-B2F5-4962-9FFB-8FE5C293E500}" name="Asset Group (Level 4)"/>
    <tableColumn id="11" xr3:uid="{90297B5A-6368-429B-AC22-05341040ADE7}" name="Asset Facility Sub-name / Area"/>
    <tableColumn id="12" xr3:uid="{615FDF92-B6AF-40E6-B1D6-281F610A0845}" name="LOCATION"/>
    <tableColumn id="13" xr3:uid="{C0DEE9B9-F3EE-4D89-8A45-B0529E68B74B}" name="Code5"/>
    <tableColumn id="14" xr3:uid="{D989CA4A-AA80-44D1-BCF2-BF7C4FCB6C1C}" name="Asset Type (Level 5)"/>
    <tableColumn id="15" xr3:uid="{05156C20-2267-4A86-AA2B-5DC3826A508A}" name="Code6"/>
    <tableColumn id="16" xr3:uid="{A494418C-0D5F-411F-A735-0ADDCEB39023}" name="Asset Component (Level 6)"/>
    <tableColumn id="17" xr3:uid="{1141BB38-031E-4C3F-AB4E-B64711307E4C}" name="Descriptor_x000a_Selection"/>
    <tableColumn id="18" xr3:uid="{87BEBA74-0F1C-4B72-9774-D7B52962B438}" name="Accounting model applied"/>
    <tableColumn id="19" xr3:uid="{5E0B2D75-E2AD-46B6-94A4-0DAE52FB231F}" name="Ownership"/>
    <tableColumn id="20" xr3:uid="{5ED6201E-DAA7-43F0-B21D-BB3C86CCDB9B}" name="Function importance"/>
    <tableColumn id="21" xr3:uid="{40CC09CE-16F7-403D-9A23-0AE093780FF7}" name="Sub class Item"/>
    <tableColumn id="22" xr3:uid="{7CE0270D-C348-40A5-A39D-719D8DD65D39}" name="MSCOA Function Class"/>
    <tableColumn id="23" xr3:uid="{2AC4845D-2D4C-4934-BDA1-213DB7249736}" name="SCOA Function Code"/>
    <tableColumn id="24" xr3:uid="{E7F3FB2F-1FAF-4E01-B16C-BA1F3BE63D0B}" name="mSCOA Asset ID"/>
    <tableColumn id="25" xr3:uid="{ED59E3E5-6FF4-4539-8C33-4ADEA34A4C14}" name="Extent"/>
    <tableColumn id="26" xr3:uid="{239D12A4-4DA2-460C-971B-7C7F2F5DD8DC}" name="Purchase Date"/>
    <tableColumn id="27" xr3:uid="{4C774B5B-EFD9-4B10-A631-E0B708EE4196}" name="Take-On Date [dd-mm-yy]" dataDxfId="3"/>
    <tableColumn id="28" xr3:uid="{EF8D9337-EFE6-4C92-AD6C-E2A7A05D2191}" name="Leased?"/>
    <tableColumn id="29" xr3:uid="{2C0196C2-17C1-4D61-A0A0-A2CDD5403822}" name="Movable asset?"/>
    <tableColumn id="30" xr3:uid="{EE94DAB1-EB71-46A1-80FE-C8D5EF66861D}" name="Reporting date" dataDxfId="2"/>
    <tableColumn id="31" xr3:uid="{EE32F8B7-329C-4EA2-8ADD-E57DBD7907CC}" name="Cost unit rate [@ recognition date]"/>
    <tableColumn id="32" xr3:uid="{3D7C5E25-E3FC-4084-88EC-AC7C3FBC1FC2}" name="EUL"/>
    <tableColumn id="33" xr3:uid="{98E1B6EC-5EF4-4CA8-8820-6FB88498A082}" name="Residual %"/>
    <tableColumn id="34" xr3:uid="{6920C3E7-B263-4BAB-A9E2-4C1425B75B40}" name="Residual Value"/>
    <tableColumn id="35" xr3:uid="{B0665196-19E8-4E34-A34D-C902E987BD32}" name="Accounting Policy Change confirmation"/>
    <tableColumn id="36" xr3:uid="{F1955136-210F-4B02-BEB7-04C10BDFD40E}" name="Years utilised in Days "/>
    <tableColumn id="37" xr3:uid="{5CCC6EA9-A58B-4678-BDD4-1A4C839963EE}" name="Years utilised in Years"/>
    <tableColumn id="38" xr3:uid="{6D595E91-8D1E-4EE6-8514-4370FB8DC316}" name="Opening RUL"/>
    <tableColumn id="39" xr3:uid="{CE6F8E77-3E76-4B30-85C7-9069248B93E8}" name="RUL Adjustment"/>
    <tableColumn id="40" xr3:uid="{8164057C-CD47-424B-A236-DCD0A04F8A52}" name="Opening RUL 30 June 2026"/>
    <tableColumn id="41" xr3:uid="{25BB9381-9ADD-4F62-8EF0-273A5D6A582C}" name="Closing RUL - June 2026"/>
    <tableColumn id="42" xr3:uid="{4F724920-4A50-4D1C-B79B-132B2C14EBB5}" name="Condition Rate"/>
    <tableColumn id="43" xr3:uid="{9F05E552-8269-4D13-AEA5-A0B92A58536F}" name="Condition"/>
    <tableColumn id="44" xr3:uid="{23313C89-4BC8-4CE0-AD27-83A83B7DA2DB}" name="Valuation method"/>
    <tableColumn id="45" xr3:uid="{21D2B73B-9589-4ADD-80C0-FF68AFDEF5DC}" name="Cost Price (opening balance)"/>
    <tableColumn id="46" xr3:uid="{F66D7C65-4FDD-4689-9546-44F1D0926ECF}" name="Additions capitalised (@actual cost)"/>
    <tableColumn id="47" xr3:uid="{BB20C9DE-176E-4C21-A996-20C02436A8B0}" name="Revaluation Adjustment Cost"/>
    <tableColumn id="48" xr3:uid="{FB77DE3E-60B1-4679-9266-9B8181C55799}" name="Derecognitions [-]"/>
    <tableColumn id="49" xr3:uid="{D34F72EF-56DA-4DBE-A9F1-1C765D2D4F15}" name="Derecognition costs"/>
    <tableColumn id="50" xr3:uid="{04FA3941-2FF2-446B-95C9-FC13F93672E9}" name="Cost Price (closing balance)"/>
    <tableColumn id="51" xr3:uid="{22A22B0A-6F56-448A-9C9F-D0B729B2459D}" name="Carrying value (opening balance)"/>
    <tableColumn id="52" xr3:uid="{643DCDC3-A4AF-4CEC-B3E3-D52325504FCD}" name="Revaluation Value"/>
    <tableColumn id="53" xr3:uid="{7D1AA98E-172F-4ABC-A8BD-4BE622609B3A}" name="Provision on rehabilitation cost"/>
    <tableColumn id="54" xr3:uid="{653AFB14-6698-4898-86EE-A043481F9B68}" name="Fairvalue adjustment"/>
    <tableColumn id="55" xr3:uid="{4BF7167E-0777-4145-94F5-7BF286AE0F50}" name="Accumulated depreciation (Opening balance)"/>
    <tableColumn id="56" xr3:uid="{FC858D67-640E-47E3-911A-018B21A003AE}" name="Revaluation adjustment Opening Accumulative depreciation"/>
    <tableColumn id="57" xr3:uid="{3F752EC6-09B6-4A64-B513-5534B04B46A4}" name="Change in Accounting Policy"/>
    <tableColumn id="58" xr3:uid="{2CF0277E-5311-438A-A7C2-556C71F1CD2F}" name="Error Comments"/>
    <tableColumn id="59" xr3:uid="{42513CAC-9DD3-402D-B501-14AA88B38BCF}" name="Correction of RUL errors"/>
    <tableColumn id="60" xr3:uid="{7198275E-5371-42C1-86F4-BE7C252E83A2}" name="Depreciation YTD"/>
    <tableColumn id="61" xr3:uid="{1D909E85-DD19-4E54-8866-8F7FE0F85FC1}" name="Monthly depreciation"/>
    <tableColumn id="62" xr3:uid="{5B88A68D-6509-4CB8-B239-A46818333B16}" name="Change in useful life effect"/>
    <tableColumn id="63" xr3:uid="{DEA887FE-F99F-4B51-85D9-60880A05E769}" name="Depreciation Method"/>
    <tableColumn id="64" xr3:uid="{D1CF722E-D034-4E8E-9B4B-F3F713835A92}" name="Derecognitions (acc dep) [+]"/>
    <tableColumn id="65" xr3:uid="{E37FFE73-F2FE-4775-BA2B-AA79C40ADE67}" name="Accumulated depreciation (Closing balance)"/>
    <tableColumn id="66" xr3:uid="{7A3116E8-ABA8-4057-BA15-800E8E59A6A5}" name="Accumulated impairments (Opening balance)"/>
    <tableColumn id="67" xr3:uid="{D72DF9BE-FFC9-4F79-AA56-DDD310F3E5CE}" name="Revaluation adjustment: Opening Accumulative impairments"/>
    <tableColumn id="68" xr3:uid="{94AB4034-8386-4D86-8D89-DBA7C4742733}" name="Annual impairment"/>
    <tableColumn id="69" xr3:uid="{C530770A-167A-4DA7-B360-87FC3077E2B0}" name="Derecognition Impairment balance [+]"/>
    <tableColumn id="70" xr3:uid="{88258DE4-9C06-46ED-9A15-16B3EBF02476}" name="Accumulated impairments (Closing balance)"/>
    <tableColumn id="71" xr3:uid="{558F6273-74A7-493E-B5C8-FB72E4873138}" name="Carrying value (closing balance)"/>
    <tableColumn id="72" xr3:uid="{3F48E4EA-38A5-4330-8177-692B21DD6D8C}" name="Derecognitions date "/>
    <tableColumn id="73" xr3:uid="{E91E4B2D-35B3-481D-9FC0-A643E17E95F3}" name="Depreciation if no impairment took place - Depreciation"/>
    <tableColumn id="74" xr3:uid="{B3E1746C-4707-443E-9B3E-64F46144CC2B}" name="Depreciation if no impairment took place - Accumulative total"/>
    <tableColumn id="75" xr3:uid="{7DC39499-3E3C-4EBA-99D7-A56485DFE19F}" name="Method Acquired"/>
    <tableColumn id="76" xr3:uid="{F1882437-7559-4FB6-AEB5-B43E77BDBD81}" name="Funding type"/>
    <tableColumn id="77" xr3:uid="{B1AFC69D-7074-4200-98FF-7DE509A81938}" name="DEPARTMENT"/>
    <tableColumn id="78" xr3:uid="{ABE84508-BE08-4DC2-9CAA-C5B9DEB0E75E}" name="Asset Custodian/ Responsible Person"/>
    <tableColumn id="79" xr3:uid="{7A418783-1FFB-4970-BF26-7EA8BBD746D2}" name="S/N"/>
    <tableColumn id="80" xr3:uid="{036746B9-E9DE-4ED2-9D3A-30A8D619FAAB}" name="Make"/>
    <tableColumn id="81" xr3:uid="{96C1C4A5-E07A-4818-9B49-B61F5EABA850}" name="Model"/>
    <tableColumn id="82" xr3:uid="{63DC3DA2-AAFB-419C-9B83-AE04F090B082}" name="Insurance"/>
    <tableColumn id="83" xr3:uid="{663F3C57-DABB-45FE-8563-42A5257372C3}" name="Column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280E175-04B7-42F7-AF86-470FAD209E18}" name="Table4" displayName="Table4" ref="A3:CE116" totalsRowShown="0">
  <autoFilter ref="A3:CE116" xr:uid="{0280E175-04B7-42F7-AF86-470FAD209E18}"/>
  <tableColumns count="83">
    <tableColumn id="1" xr3:uid="{3A4E652B-E609-4003-8BB5-10C41EEC2442}" name="Component ID/ Bar code"/>
    <tableColumn id="2" xr3:uid="{3DD9865C-B571-4AEB-8B21-CE09CFFE32EE}" name="ROOM ID"/>
    <tableColumn id="3" xr3:uid="{07C35DA0-9036-4EAD-A62A-767538017D5E}" name="Code1"/>
    <tableColumn id="4" xr3:uid="{85978472-66A2-4410-92FD-AB5032206004}" name="Accounting Group (Level 1)"/>
    <tableColumn id="5" xr3:uid="{4B495A77-2D5E-458A-BE8A-83BEF799D2A4}" name="Code2"/>
    <tableColumn id="6" xr3:uid="{6541830C-52F3-4BA0-A18A-5924B7F0FA2C}" name="Asset Category (Level 2)"/>
    <tableColumn id="7" xr3:uid="{56D31145-07E6-4A46-9107-D242E3750F00}" name="Code3"/>
    <tableColumn id="8" xr3:uid="{3FE8B42D-0DD3-427F-AF2D-9A8CC4FABF50}" name="Asset Sub Category (Level 3)"/>
    <tableColumn id="9" xr3:uid="{9AF40230-65B8-48DF-917C-143DC7BE8029}" name="Code4"/>
    <tableColumn id="10" xr3:uid="{143F262B-178D-4E92-8900-7351CC645C40}" name="Asset Group (Level 4)"/>
    <tableColumn id="11" xr3:uid="{0EF6A7FE-28EF-48A9-9554-FAD230188A73}" name="Asset Facility Sub-name / Area"/>
    <tableColumn id="12" xr3:uid="{37D84457-CE39-41CF-82E5-081C3CAA6759}" name="LOCATION"/>
    <tableColumn id="13" xr3:uid="{16656077-E6B2-4B30-9602-A6589BD82ECC}" name="Code5"/>
    <tableColumn id="14" xr3:uid="{65CC496D-C0ED-4F49-AD65-DB5B951AFD39}" name="Asset Type (Level 5)"/>
    <tableColumn id="15" xr3:uid="{4E0EFCE8-6E5C-484C-9E8C-86AC63B97E0F}" name="Code6"/>
    <tableColumn id="16" xr3:uid="{0E429EAA-5FFE-4C9E-BF27-911BE911E9D6}" name="Asset Component (Level 6)"/>
    <tableColumn id="17" xr3:uid="{5F3A51C5-ECC7-4A93-BA67-C68C25E515BB}" name="Descriptor_x000a_Selection"/>
    <tableColumn id="18" xr3:uid="{0C355005-B338-48BE-8F24-609AC66A1E25}" name="Accounting model applied"/>
    <tableColumn id="19" xr3:uid="{C8BA6C49-3BB1-43F9-86A9-FCB23BD7870B}" name="Ownership"/>
    <tableColumn id="20" xr3:uid="{D52FC485-BA2A-4C73-937B-D0EFC387AD93}" name="Function importance"/>
    <tableColumn id="21" xr3:uid="{7283F0DE-88E9-4A82-A487-FD764C533792}" name="Sub class Item"/>
    <tableColumn id="22" xr3:uid="{1CA7CB4E-4D8C-4EE6-B505-61AF141DBCD8}" name="MSCOA Function Class"/>
    <tableColumn id="23" xr3:uid="{CB139122-0597-4718-B771-6D75087DB8AB}" name="SCOA Function Code"/>
    <tableColumn id="24" xr3:uid="{344B32C8-903B-411D-80BF-3E542448E6E8}" name="mSCOA Asset ID"/>
    <tableColumn id="25" xr3:uid="{DC4BB069-4904-4F59-B0C2-C72B461B7174}" name="Extent"/>
    <tableColumn id="26" xr3:uid="{4BAFB9FF-3782-4494-B1E3-A60798B30C7B}" name="Purchase Date"/>
    <tableColumn id="27" xr3:uid="{3ECAC6F7-281F-4767-8F17-ABB3D3CEAA37}" name="Take-On Date [dd-mm-yy]" dataDxfId="1"/>
    <tableColumn id="28" xr3:uid="{272B44FB-0D0F-4E87-8115-8A74CCF5CF46}" name="Leased?"/>
    <tableColumn id="29" xr3:uid="{61D8CC27-9040-493F-8321-F27BB8007E4F}" name="Movable asset?"/>
    <tableColumn id="30" xr3:uid="{CF11FB79-BF2B-4307-85EA-0C8626D68CB1}" name="Reporting date" dataDxfId="0"/>
    <tableColumn id="31" xr3:uid="{26E0818C-AAB0-4642-8B99-84ECAD5610CF}" name="Cost unit rate [@ recognition date]"/>
    <tableColumn id="32" xr3:uid="{14918D53-F4FE-4859-A904-E5A0D6F1865C}" name="EUL"/>
    <tableColumn id="33" xr3:uid="{D3CDF72A-01F5-44CF-99A8-CB77DF76E873}" name="Residual %"/>
    <tableColumn id="34" xr3:uid="{0FF57AF3-E351-4E8D-A338-3504819CA668}" name="Residual Value"/>
    <tableColumn id="35" xr3:uid="{0FDB3600-BAA3-4C4C-81F7-DF71EF2F22B9}" name="Accounting Policy Change confirmation"/>
    <tableColumn id="36" xr3:uid="{7C34CEBB-E155-49CC-904E-93F239279433}" name="Years utilised in Days "/>
    <tableColumn id="37" xr3:uid="{63C3CE57-538D-4D50-9569-AE5B8798D2A6}" name="Years utilised in Years"/>
    <tableColumn id="38" xr3:uid="{8001E7D7-8D42-4BF9-8617-E0D3426025FD}" name="Opening RUL"/>
    <tableColumn id="39" xr3:uid="{3A302ACE-B0B4-49E2-BF5B-9F742D49E521}" name="RUL Adjustment"/>
    <tableColumn id="40" xr3:uid="{215BA5FD-29F9-46AE-A47D-3C03803B40B4}" name="Opening RUL 30 June 2026"/>
    <tableColumn id="41" xr3:uid="{182673B9-2C08-4AAF-9E91-6D1718CBFFEF}" name="Closing RUL - June 2026"/>
    <tableColumn id="42" xr3:uid="{74C90B2F-28BC-46D1-AB9E-E5E07852C85A}" name="Condition Rate"/>
    <tableColumn id="43" xr3:uid="{615C3A5E-B438-4A60-A3CC-6C047B54A331}" name="Condition"/>
    <tableColumn id="44" xr3:uid="{ACA3471D-C9D1-4318-883B-BCE1DEE29686}" name="Valuation method"/>
    <tableColumn id="45" xr3:uid="{BAFF12F8-BAAB-46B5-B352-879041CAE047}" name="Cost Price (opening balance)"/>
    <tableColumn id="46" xr3:uid="{99BBCBC0-96E9-4FBA-82F4-53117A636433}" name="Additions capitalised (@actual cost)"/>
    <tableColumn id="47" xr3:uid="{087FEAAD-6CAB-485F-A520-D21C602C9E29}" name="Revaluation Adjustment Cost"/>
    <tableColumn id="48" xr3:uid="{32A2B4A1-DCE9-41E7-A4F3-2595F62323F7}" name="Derecognitions [-]"/>
    <tableColumn id="49" xr3:uid="{05A626E1-912C-4CE1-95E8-3E3E7390A92E}" name="Derecognition costs"/>
    <tableColumn id="50" xr3:uid="{C65B61A4-7CE4-4C51-8CFB-A6FAAF381E4D}" name="Cost Price (closing balance)"/>
    <tableColumn id="51" xr3:uid="{FC4B391D-AF5C-4E64-B0F1-E9DB0EA8863E}" name="Carrying value (opening balance)"/>
    <tableColumn id="52" xr3:uid="{47D2ABD8-2914-4833-9FD7-C2EE6DFFF4BE}" name="Revaluation Value"/>
    <tableColumn id="53" xr3:uid="{55949CBE-7DD9-4CB7-A660-9EAEE874D0C9}" name="Provision on rehabilitation cost"/>
    <tableColumn id="54" xr3:uid="{7B9579A4-9D53-4662-AA5E-EBA1E6D7F877}" name="Fairvalue adjustment"/>
    <tableColumn id="55" xr3:uid="{BEF21DE9-0574-416E-BB88-10BE205905A5}" name="Accumulated depreciation (Opening balance)"/>
    <tableColumn id="56" xr3:uid="{DD9ED5EF-CED6-4847-8D7E-093542226ACC}" name="Revaluation adjustment Opening Accumulative depreciation"/>
    <tableColumn id="57" xr3:uid="{10368CB1-161C-4564-99A1-6244A34E7B07}" name="Change in Accounting Policy"/>
    <tableColumn id="58" xr3:uid="{B4A48F79-0A5C-45F7-A98D-670302F5A118}" name="Error Comments"/>
    <tableColumn id="59" xr3:uid="{EBA36958-3FE0-4C7B-973A-CEE26C766AFB}" name="Correction of RUL errors"/>
    <tableColumn id="60" xr3:uid="{90A924FE-6DDC-43ED-8E6A-D339C9C16863}" name="Depreciation YTD"/>
    <tableColumn id="61" xr3:uid="{08C24345-6485-4906-BB52-697CFB3DE621}" name="Monthly depreciation"/>
    <tableColumn id="62" xr3:uid="{954C5A66-47A0-49CC-A9A8-196BD0FD92D1}" name="Change in useful life effect"/>
    <tableColumn id="63" xr3:uid="{522EE4A9-BB4A-4BA8-8A2F-F22B711DEBAD}" name="Depreciation Method"/>
    <tableColumn id="64" xr3:uid="{5FBB4928-3360-4F4A-A996-AD63F6867831}" name="Derecognitions (acc dep) [+]"/>
    <tableColumn id="65" xr3:uid="{20E7C1E1-52A9-4D03-9121-C92BD209BADE}" name="Accumulated depreciation (Closing balance)"/>
    <tableColumn id="66" xr3:uid="{2AE7A815-993E-4790-8A6F-51F78004410A}" name="Accumulated impairments (Opening balance)"/>
    <tableColumn id="67" xr3:uid="{E6B7B661-FDC3-4732-9FA5-9474BE026379}" name="Revaluation adjustment: Opening Accumulative impairments"/>
    <tableColumn id="68" xr3:uid="{B6B4319B-18D6-4F02-8724-8B868260E750}" name="Annual impairment"/>
    <tableColumn id="69" xr3:uid="{4941212C-1A3A-4AA9-A6A7-65E32CD57AF2}" name="Derecognition Impairment balance [+]"/>
    <tableColumn id="70" xr3:uid="{3AFCA184-9A7E-4582-97C2-3542788C1866}" name="Accumulated impairments (Closing balance)"/>
    <tableColumn id="71" xr3:uid="{1FFBF4B5-2FFB-452C-A5C2-FAC96E9AF183}" name="Carrying value (closing balance)"/>
    <tableColumn id="72" xr3:uid="{A4F4D41D-4699-4510-A883-6A279794D433}" name="Derecognitions date "/>
    <tableColumn id="73" xr3:uid="{77C73A21-A078-4C10-86B1-9333D98E2438}" name="Depreciation if no impairment took place - Depreciation"/>
    <tableColumn id="74" xr3:uid="{2C74D9F2-96C9-442F-BE05-30EBCCC2F25A}" name="Depreciation if no impairment took place - Accumulative total"/>
    <tableColumn id="75" xr3:uid="{2433F9EC-E950-43E4-B1F6-909708388D11}" name="Method Acquired"/>
    <tableColumn id="76" xr3:uid="{CB22B86E-315E-427A-B8C2-2FF393BE1410}" name="Funding type"/>
    <tableColumn id="77" xr3:uid="{BC2616D3-5547-4F95-AEB8-3E689C9177B5}" name="DEPARTMENT"/>
    <tableColumn id="78" xr3:uid="{F40E3B1D-1B7E-45E8-8449-8C58C774A40F}" name="Asset Custodian/ Responsible Person"/>
    <tableColumn id="79" xr3:uid="{ED72CD6A-C44D-47E8-B300-8B06A8AA2ED8}" name="S/N"/>
    <tableColumn id="80" xr3:uid="{0B8A7302-2525-4B26-AD54-DFD369630E66}" name="Make"/>
    <tableColumn id="81" xr3:uid="{113FF115-8531-4CDB-B6EF-EBE196B1FA1A}" name="Model"/>
    <tableColumn id="82" xr3:uid="{4C54EAE9-F184-4DB4-B6DF-BB09E35CAF95}" name="Insurance"/>
    <tableColumn id="83" xr3:uid="{9D26B4AD-8B37-4812-AA72-F3045AD11020}" name="Column1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AR" displayName="FAR" ref="A6:CE550" totalsRowCount="1" headerRowDxfId="418" dataDxfId="417" totalsRowDxfId="416">
  <autoFilter ref="A6:CE549" xr:uid="{00000000-0009-0000-0100-000001000000}"/>
  <tableColumns count="83">
    <tableColumn id="1" xr3:uid="{00000000-0010-0000-0000-000001000000}" name="Component ID/ Bar code" dataDxfId="415" totalsRowDxfId="414"/>
    <tableColumn id="3" xr3:uid="{00000000-0010-0000-0000-000003000000}" name="ROOM ID" dataDxfId="413" totalsRowDxfId="412">
      <calculatedColumnFormula>VLOOKUP(FAR[[#This Row],[Component ID/ Bar code]],[3]nhc!$I$1:$P$686,8,0)</calculatedColumnFormula>
    </tableColumn>
    <tableColumn id="4" xr3:uid="{00000000-0010-0000-0000-000004000000}" name="Code1" dataDxfId="411" totalsRowDxfId="410"/>
    <tableColumn id="5" xr3:uid="{00000000-0010-0000-0000-000005000000}" name="Accounting Group (Level 1)" dataDxfId="409" totalsRowDxfId="408"/>
    <tableColumn id="6" xr3:uid="{00000000-0010-0000-0000-000006000000}" name="Code2" dataDxfId="407" totalsRowDxfId="406"/>
    <tableColumn id="7" xr3:uid="{00000000-0010-0000-0000-000007000000}" name="Asset Category (Level 2)" dataDxfId="405" totalsRowDxfId="404"/>
    <tableColumn id="8" xr3:uid="{00000000-0010-0000-0000-000008000000}" name="Code3" dataDxfId="403" totalsRowDxfId="402"/>
    <tableColumn id="9" xr3:uid="{00000000-0010-0000-0000-000009000000}" name="Asset Sub Category (Level 3)" dataDxfId="401" totalsRowDxfId="400"/>
    <tableColumn id="10" xr3:uid="{00000000-0010-0000-0000-00000A000000}" name="Code4" dataDxfId="399" totalsRowDxfId="398"/>
    <tableColumn id="11" xr3:uid="{00000000-0010-0000-0000-00000B000000}" name="Asset Group (Level 4)" dataDxfId="397" totalsRowDxfId="396"/>
    <tableColumn id="13" xr3:uid="{00000000-0010-0000-0000-00000D000000}" name="Asset Facility Sub-name / Area" dataDxfId="395" totalsRowDxfId="394"/>
    <tableColumn id="14" xr3:uid="{00000000-0010-0000-0000-00000E000000}" name="LOCATION" dataDxfId="393" totalsRowDxfId="392"/>
    <tableColumn id="15" xr3:uid="{00000000-0010-0000-0000-00000F000000}" name="Code5" dataDxfId="391" totalsRowDxfId="390"/>
    <tableColumn id="16" xr3:uid="{00000000-0010-0000-0000-000010000000}" name="Asset Type (Level 5)" dataDxfId="389" totalsRowDxfId="388"/>
    <tableColumn id="17" xr3:uid="{00000000-0010-0000-0000-000011000000}" name="Code6" dataDxfId="387" totalsRowDxfId="386"/>
    <tableColumn id="18" xr3:uid="{00000000-0010-0000-0000-000012000000}" name="Asset Component (Level 6)" dataDxfId="385" totalsRowDxfId="384"/>
    <tableColumn id="19" xr3:uid="{00000000-0010-0000-0000-000013000000}" name="Descriptor_x000a_Selection" dataDxfId="383" totalsRowDxfId="382"/>
    <tableColumn id="20" xr3:uid="{00000000-0010-0000-0000-000014000000}" name="Accounting model applied" dataDxfId="381" totalsRowDxfId="380"/>
    <tableColumn id="22" xr3:uid="{00000000-0010-0000-0000-000016000000}" name="Ownership" dataDxfId="379" totalsRowDxfId="378"/>
    <tableColumn id="23" xr3:uid="{00000000-0010-0000-0000-000017000000}" name="Function importance" dataDxfId="377" totalsRowDxfId="376"/>
    <tableColumn id="24" xr3:uid="{00000000-0010-0000-0000-000018000000}" name="Sub class Item" dataDxfId="375" totalsRowDxfId="374"/>
    <tableColumn id="25" xr3:uid="{00000000-0010-0000-0000-000019000000}" name="MSCOA Function Class" dataDxfId="373" totalsRowDxfId="372"/>
    <tableColumn id="26" xr3:uid="{00000000-0010-0000-0000-00001A000000}" name="SCOA Function Code" dataDxfId="371" totalsRowDxfId="370"/>
    <tableColumn id="27" xr3:uid="{00000000-0010-0000-0000-00001B000000}" name="mSCOA Asset ID" dataDxfId="369" totalsRowDxfId="368"/>
    <tableColumn id="39" xr3:uid="{00000000-0010-0000-0000-000027000000}" name="Extent" dataDxfId="367" totalsRowDxfId="366" dataCellStyle="Comma"/>
    <tableColumn id="34" xr3:uid="{59565553-620D-4247-AC60-DF4FBF30FEFC}" name="Purchase Date" dataDxfId="365" totalsRowDxfId="364" dataCellStyle="Comma"/>
    <tableColumn id="41" xr3:uid="{00000000-0010-0000-0000-000029000000}" name="Take-On Date [dd-mm-yy]" dataDxfId="363" totalsRowDxfId="362"/>
    <tableColumn id="63" xr3:uid="{00000000-0010-0000-0000-00003F000000}" name="Leased?" dataDxfId="361" totalsRowDxfId="360"/>
    <tableColumn id="66" xr3:uid="{00000000-0010-0000-0000-000042000000}" name="Movable asset?" dataDxfId="359" totalsRowDxfId="358"/>
    <tableColumn id="67" xr3:uid="{00000000-0010-0000-0000-000043000000}" name="Reporting date" dataDxfId="357" totalsRowDxfId="356"/>
    <tableColumn id="68" xr3:uid="{00000000-0010-0000-0000-000044000000}" name="Cost unit rate [@ recognition date]" dataDxfId="355" totalsRowDxfId="354"/>
    <tableColumn id="72" xr3:uid="{00000000-0010-0000-0000-000048000000}" name="EUL" dataDxfId="353" totalsRowDxfId="352"/>
    <tableColumn id="37" xr3:uid="{4B42D527-4B17-4489-AA32-0799EBEF7B5E}" name="Residual %" dataDxfId="351" totalsRowDxfId="350"/>
    <tableColumn id="36" xr3:uid="{DA4BAAD9-103A-4A6A-BDA8-78966B4A6F41}" name="Residual Value" dataDxfId="349" totalsRowDxfId="348"/>
    <tableColumn id="73" xr3:uid="{00000000-0010-0000-0000-000049000000}" name="Accounting Policy Change confirmation" dataDxfId="347" totalsRowDxfId="346"/>
    <tableColumn id="28" xr3:uid="{E0E09FB8-76CE-4D40-A60E-9F95029E7EC4}" name="Years utilised in Days " dataDxfId="345" totalsRowDxfId="344">
      <calculatedColumnFormula>FAR[[#This Row],[Reporting date]]-FAR[[#This Row],[Take-On Date '[dd-mm-yy']]]</calculatedColumnFormula>
    </tableColumn>
    <tableColumn id="29" xr3:uid="{631B1F6C-C0DB-4063-9284-CFCC2E9FB9DE}" name="Years utilised in Years" dataDxfId="343" totalsRowDxfId="342" dataCellStyle="Comma">
      <calculatedColumnFormula>FAR[[#This Row],[Years utilised in Days ]]/365</calculatedColumnFormula>
    </tableColumn>
    <tableColumn id="30" xr3:uid="{44914487-D8F9-4986-B8CE-3525474CCC1E}" name="Opening RUL" dataDxfId="341" totalsRowDxfId="340"/>
    <tableColumn id="32" xr3:uid="{D866E026-2CC6-4ADC-91B3-52B9F1F8F053}" name="RUL Adjustment" dataDxfId="339" totalsRowDxfId="338"/>
    <tableColumn id="95" xr3:uid="{00000000-0010-0000-0000-00005F000000}" name="Opening RUL 30 June 2026" dataDxfId="337" totalsRowDxfId="336">
      <calculatedColumnFormula>FAR[[#This Row],[Opening RUL]]+FAR[[#This Row],[RUL Adjustment]]</calculatedColumnFormula>
    </tableColumn>
    <tableColumn id="156" xr3:uid="{00000000-0010-0000-0000-00009C000000}" name="Closing RUL - June 2026" dataDxfId="335" totalsRowDxfId="334">
      <calculatedColumnFormula>VLOOKUP(FAR[[#This Row],[Component ID/ Bar code]],#REF!,2,0)</calculatedColumnFormula>
    </tableColumn>
    <tableColumn id="33" xr3:uid="{AA98FC52-AD74-46F1-AB20-AA1109679981}" name="Condition Rate" dataDxfId="333" totalsRowDxfId="332"/>
    <tableColumn id="31" xr3:uid="{ABA70F1F-3978-4A57-B06D-5E392870B376}" name="Condition" dataDxfId="331" totalsRowDxfId="330"/>
    <tableColumn id="99" xr3:uid="{00000000-0010-0000-0000-000063000000}" name="Valuation method" dataDxfId="329" totalsRowDxfId="328"/>
    <tableColumn id="100" xr3:uid="{00000000-0010-0000-0000-000064000000}" name="Cost Price (opening balance)" totalsRowFunction="sum" dataDxfId="327" totalsRowDxfId="326" dataCellStyle="Comma"/>
    <tableColumn id="101" xr3:uid="{00000000-0010-0000-0000-000065000000}" name="Additions capitalised (@actual cost)" totalsRowFunction="sum" dataDxfId="325" totalsRowDxfId="324" dataCellStyle="Comma"/>
    <tableColumn id="102" xr3:uid="{00000000-0010-0000-0000-000066000000}" name="Revaluation Adjustment Cost" totalsRowFunction="sum" dataDxfId="323" totalsRowDxfId="322" dataCellStyle="Comma"/>
    <tableColumn id="103" xr3:uid="{00000000-0010-0000-0000-000067000000}" name="Derecognitions [-]" totalsRowFunction="sum" dataDxfId="321" totalsRowDxfId="320" dataCellStyle="Comma"/>
    <tableColumn id="104" xr3:uid="{00000000-0010-0000-0000-000068000000}" name="Derecognition costs" totalsRowFunction="sum" dataDxfId="319" totalsRowDxfId="318" dataCellStyle="Comma"/>
    <tableColumn id="105" xr3:uid="{00000000-0010-0000-0000-000069000000}" name="Cost Price (closing balance)" totalsRowFunction="sum" dataDxfId="317" totalsRowDxfId="316" dataCellStyle="Comma"/>
    <tableColumn id="106" xr3:uid="{00000000-0010-0000-0000-00006A000000}" name="Carrying value (opening balance)" totalsRowFunction="sum" dataDxfId="315" totalsRowDxfId="314" dataCellStyle="Comma"/>
    <tableColumn id="107" xr3:uid="{00000000-0010-0000-0000-00006B000000}" name="Revaluation Value" totalsRowFunction="sum" dataDxfId="313" totalsRowDxfId="312" dataCellStyle="Comma"/>
    <tableColumn id="108" xr3:uid="{00000000-0010-0000-0000-00006C000000}" name="Provision on rehabilitation cost" totalsRowFunction="sum" dataDxfId="311" totalsRowDxfId="310" dataCellStyle="Comma"/>
    <tableColumn id="109" xr3:uid="{00000000-0010-0000-0000-00006D000000}" name="Fairvalue adjustment" totalsRowFunction="sum" dataDxfId="309" totalsRowDxfId="308" dataCellStyle="Comma"/>
    <tableColumn id="110" xr3:uid="{00000000-0010-0000-0000-00006E000000}" name="Accumulated depreciation (Opening balance)" totalsRowFunction="sum" dataDxfId="307" totalsRowDxfId="306" dataCellStyle="Comma"/>
    <tableColumn id="111" xr3:uid="{00000000-0010-0000-0000-00006F000000}" name="Revaluation adjustment Opening Accumulative depreciation" totalsRowFunction="sum" dataDxfId="305" totalsRowDxfId="304" dataCellStyle="Comma"/>
    <tableColumn id="112" xr3:uid="{00000000-0010-0000-0000-000070000000}" name="Change in Accounting Policy" totalsRowFunction="sum" dataDxfId="303" totalsRowDxfId="302" dataCellStyle="Comma"/>
    <tableColumn id="113" xr3:uid="{00000000-0010-0000-0000-000071000000}" name="Error Comments" totalsRowFunction="sum" dataDxfId="301" totalsRowDxfId="300" dataCellStyle="Comma"/>
    <tableColumn id="114" xr3:uid="{00000000-0010-0000-0000-000072000000}" name="Correction of RUL errors" totalsRowFunction="sum" dataDxfId="299" totalsRowDxfId="298" dataCellStyle="Comma"/>
    <tableColumn id="115" xr3:uid="{00000000-0010-0000-0000-000073000000}" name="Depreciation YTD" totalsRowFunction="sum" dataDxfId="297" totalsRowDxfId="296" dataCellStyle="Comma">
      <calculatedColumnFormula>-FAR[[#This Row],[Carrying value (opening balance)]]/FAR[[#This Row],[Opening RUL 30 June 2026]]</calculatedColumnFormula>
    </tableColumn>
    <tableColumn id="40" xr3:uid="{68F018E9-CF4F-4D3F-B604-54AC4A68888B}" name="Monthly depreciation" totalsRowFunction="sum" dataDxfId="295" totalsRowDxfId="294" dataCellStyle="Comma">
      <calculatedColumnFormula>FAR[[#This Row],[Depreciation YTD]]/12</calculatedColumnFormula>
    </tableColumn>
    <tableColumn id="116" xr3:uid="{00000000-0010-0000-0000-000074000000}" name="Change in useful life effect" totalsRowFunction="sum" dataDxfId="293" totalsRowDxfId="292" dataCellStyle="Comma"/>
    <tableColumn id="117" xr3:uid="{00000000-0010-0000-0000-000075000000}" name="Depreciation Method" totalsRowFunction="sum" dataDxfId="291" totalsRowDxfId="290" dataCellStyle="Comma"/>
    <tableColumn id="118" xr3:uid="{00000000-0010-0000-0000-000076000000}" name="Derecognitions (acc dep) [+]" totalsRowFunction="sum" dataDxfId="289" totalsRowDxfId="288" dataCellStyle="Comma"/>
    <tableColumn id="119" xr3:uid="{00000000-0010-0000-0000-000077000000}" name="Accumulated depreciation (Closing balance)" totalsRowFunction="sum" dataDxfId="287" totalsRowDxfId="286" dataCellStyle="Comma"/>
    <tableColumn id="120" xr3:uid="{00000000-0010-0000-0000-000078000000}" name="Accumulated impairments (Opening balance)" totalsRowFunction="sum" dataDxfId="285" totalsRowDxfId="284" dataCellStyle="Comma"/>
    <tableColumn id="121" xr3:uid="{00000000-0010-0000-0000-000079000000}" name="Revaluation adjustment: Opening Accumulative impairments" totalsRowFunction="sum" dataDxfId="283" totalsRowDxfId="282" dataCellStyle="Comma"/>
    <tableColumn id="122" xr3:uid="{00000000-0010-0000-0000-00007A000000}" name="Annual impairment" totalsRowFunction="sum" dataDxfId="281" totalsRowDxfId="280" dataCellStyle="Comma"/>
    <tableColumn id="123" xr3:uid="{00000000-0010-0000-0000-00007B000000}" name="Derecognition Impairment balance [+]" totalsRowFunction="sum" dataDxfId="279" totalsRowDxfId="278" dataCellStyle="Comma"/>
    <tableColumn id="124" xr3:uid="{00000000-0010-0000-0000-00007C000000}" name="Accumulated impairments (Closing balance)" totalsRowFunction="sum" dataDxfId="277" totalsRowDxfId="276" dataCellStyle="Comma">
      <calculatedColumnFormula>FAR[[#This Row],[Accumulated impairments (Opening balance)]]+FAR[[#This Row],[Revaluation adjustment: Opening Accumulative impairments]]+FAR[[#This Row],[Annual impairment]]+FAR[[#This Row],[Derecognition Impairment balance '[+']]]</calculatedColumnFormula>
    </tableColumn>
    <tableColumn id="125" xr3:uid="{00000000-0010-0000-0000-00007D000000}" name="Carrying value (closing balance)" totalsRowFunction="sum" dataDxfId="275" totalsRowDxfId="274" dataCellStyle="Comma"/>
    <tableColumn id="126" xr3:uid="{00000000-0010-0000-0000-00007E000000}" name="Derecognitions date " dataDxfId="273" totalsRowDxfId="272" dataCellStyle="Comma">
      <calculatedColumnFormula>FAR[[#This Row],[Accumulated depreciation (Opening balance)]]</calculatedColumnFormula>
    </tableColumn>
    <tableColumn id="127" xr3:uid="{00000000-0010-0000-0000-00007F000000}" name="Depreciation if no impairment took place - Depreciation" dataDxfId="271" totalsRowDxfId="270" dataCellStyle="Comma"/>
    <tableColumn id="128" xr3:uid="{00000000-0010-0000-0000-000080000000}" name="Depreciation if no impairment took place - Accumulative total" dataDxfId="269" totalsRowDxfId="268" dataCellStyle="Comma"/>
    <tableColumn id="134" xr3:uid="{00000000-0010-0000-0000-000086000000}" name="Method Acquired" dataDxfId="267" totalsRowDxfId="266"/>
    <tableColumn id="136" xr3:uid="{00000000-0010-0000-0000-000088000000}" name="Funding type" dataDxfId="265" totalsRowDxfId="264"/>
    <tableColumn id="137" xr3:uid="{00000000-0010-0000-0000-000089000000}" name="DEPARTMENT" dataDxfId="263" totalsRowDxfId="262"/>
    <tableColumn id="138" xr3:uid="{00000000-0010-0000-0000-00008A000000}" name="Asset Custodian/ Responsible Person" dataDxfId="261" totalsRowDxfId="260"/>
    <tableColumn id="12" xr3:uid="{4F5F1C7A-4BDF-4169-A9A8-6C320B56FEAC}" name="S/N" dataDxfId="259" totalsRowDxfId="258"/>
    <tableColumn id="2" xr3:uid="{013111FB-1A79-422A-B2F0-81EA0B083400}" name="Make" dataDxfId="257" totalsRowDxfId="256"/>
    <tableColumn id="21" xr3:uid="{D831A864-36E6-4E71-815A-2FCB475ED81E}" name="Model" dataDxfId="255" totalsRowDxfId="254"/>
    <tableColumn id="35" xr3:uid="{FEA4F8CB-C190-4F10-8955-5E5A0D9943F9}" name="Insurance" dataDxfId="253" totalsRowDxfId="252"/>
    <tableColumn id="38" xr3:uid="{9FD004EA-022A-4672-A683-3AA66C6844CC}" name="Column1" dataDxfId="251" totalsRowDxfId="250">
      <calculatedColumnFormula>FAR[[#This Row],[Additions capitalised (@actual cost)]]/FAR[[#This Row],[EUL]]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47CD2EA-37BB-44E0-9C39-C460F70F3D64}" name="Table3" displayName="Table3" ref="A2:CD9" totalsRowCount="1" headerRowDxfId="249" dataDxfId="247" headerRowBorderDxfId="248" tableBorderDxfId="246" totalsRowBorderDxfId="245">
  <autoFilter ref="A2:CD8" xr:uid="{A47CD2EA-37BB-44E0-9C39-C460F70F3D64}"/>
  <tableColumns count="82">
    <tableColumn id="1" xr3:uid="{6CFBC114-FE12-4743-865F-E2BABD80C6E1}" name="Component ID/ Bar code" dataDxfId="244" totalsRowDxfId="243"/>
    <tableColumn id="2" xr3:uid="{A88513EF-3B5F-421B-B8A5-CAA24A1DA357}" name="ROOM ID" dataDxfId="242" totalsRowDxfId="241"/>
    <tableColumn id="3" xr3:uid="{C94CA792-FB34-4DD3-9318-B4B16A432FA6}" name="Code1" dataDxfId="240" totalsRowDxfId="239"/>
    <tableColumn id="4" xr3:uid="{EB03593E-038D-400E-9CD9-EB99CF52898D}" name="Accounting Group (Level 1)" dataDxfId="238" totalsRowDxfId="237"/>
    <tableColumn id="5" xr3:uid="{071500C0-47CF-4118-AED4-BE1040693D79}" name="Code2" dataDxfId="236" totalsRowDxfId="235"/>
    <tableColumn id="6" xr3:uid="{7E8AA13D-886C-4E2D-93FE-197AC3AB94CC}" name="Asset Category (Level 2)" dataDxfId="234" totalsRowDxfId="233"/>
    <tableColumn id="7" xr3:uid="{E786328A-D580-4451-9F42-6BED020C27BA}" name="Code3" dataDxfId="232" totalsRowDxfId="231"/>
    <tableColumn id="8" xr3:uid="{1F694F17-5627-4516-98DE-49308DBDF261}" name="Asset Sub Category (Level 3)" dataDxfId="230" totalsRowDxfId="229"/>
    <tableColumn id="9" xr3:uid="{CD534B08-546E-4508-A1E2-E6C709B80F97}" name="Code4" dataDxfId="228" totalsRowDxfId="227"/>
    <tableColumn id="10" xr3:uid="{899513E8-47EE-40D4-B18B-F552590731FF}" name="Asset Group (Level 4)" dataDxfId="226" totalsRowDxfId="225"/>
    <tableColumn id="11" xr3:uid="{0208ECB4-22F2-4A0C-B224-5BB309CA9D6C}" name="Asset Facility Sub-name / Area" dataDxfId="224" totalsRowDxfId="223"/>
    <tableColumn id="12" xr3:uid="{27E42F38-F876-4D6C-A127-452123DCD030}" name="LOCATION" dataDxfId="222" totalsRowDxfId="221"/>
    <tableColumn id="13" xr3:uid="{19478453-5439-4E1F-9872-86ABE59B307D}" name="Code5" dataDxfId="220" totalsRowDxfId="219"/>
    <tableColumn id="14" xr3:uid="{3C5B5ACC-897F-4148-93BE-D37764863711}" name="Asset Type (Level 5)" dataDxfId="218" totalsRowDxfId="217"/>
    <tableColumn id="15" xr3:uid="{0F171DA6-1078-41B4-B357-D02575DE00F0}" name="Code6" dataDxfId="216" totalsRowDxfId="215"/>
    <tableColumn id="16" xr3:uid="{39BF367F-31A9-4CC8-9A76-6ABBB5803005}" name="Asset Component (Level 6)" dataDxfId="214" totalsRowDxfId="213"/>
    <tableColumn id="17" xr3:uid="{C19C9E25-6A4C-4D3E-869D-D3283D3A871D}" name="Descriptor_x000a_Selection" dataDxfId="212" totalsRowDxfId="211"/>
    <tableColumn id="18" xr3:uid="{6624D8D3-0996-4A88-AC75-7D0251653675}" name="Accounting model applied" dataDxfId="210" totalsRowDxfId="209"/>
    <tableColumn id="19" xr3:uid="{D30EF36D-F39E-436C-881B-96AE5AD03C3B}" name="Ownership" dataDxfId="208" totalsRowDxfId="207"/>
    <tableColumn id="20" xr3:uid="{2F2C53F1-3525-498F-BD67-F965DB1D65CD}" name="Function importance" dataDxfId="206" totalsRowDxfId="205"/>
    <tableColumn id="21" xr3:uid="{B0B19E67-73FB-4FB0-8D4F-77107A25467C}" name="Sub class Item" dataDxfId="204" totalsRowDxfId="203"/>
    <tableColumn id="22" xr3:uid="{C08A3A50-2025-494B-AB32-003959159C88}" name="MSCOA Function Class" dataDxfId="202" totalsRowDxfId="201"/>
    <tableColumn id="23" xr3:uid="{836CD552-4C71-438F-8F01-D4CC88FE9E77}" name="SCOA Function Code" dataDxfId="200" totalsRowDxfId="199"/>
    <tableColumn id="24" xr3:uid="{574CD6C0-3378-4783-B7F0-B0154421E849}" name="mSCOA Asset ID" dataDxfId="198" totalsRowDxfId="197"/>
    <tableColumn id="25" xr3:uid="{8BA2F472-0B1E-490B-AC52-3634B6A1FD1C}" name="Extent" dataDxfId="196" totalsRowDxfId="195" dataCellStyle="Comma"/>
    <tableColumn id="26" xr3:uid="{8DD9C9E5-3FC9-40AC-87AE-8329C553A78C}" name="Purchase Date" dataDxfId="194" totalsRowDxfId="193"/>
    <tableColumn id="27" xr3:uid="{8C085647-82C4-471C-9009-11473F2FE55A}" name="Take-On Date [dd-mm-yy]" dataDxfId="192" totalsRowDxfId="191"/>
    <tableColumn id="28" xr3:uid="{DF2A0F6E-587F-4FC6-B7CE-317E8F8066B5}" name="Leased?" dataDxfId="190" totalsRowDxfId="189"/>
    <tableColumn id="29" xr3:uid="{A285A2D7-A70F-4F4C-AF43-F417E4D00506}" name="Movable asset?" dataDxfId="188" totalsRowDxfId="187"/>
    <tableColumn id="30" xr3:uid="{4990FA7B-9F0B-43D4-9A5F-16C763B482D5}" name="Reporting date" dataDxfId="186" totalsRowDxfId="185"/>
    <tableColumn id="31" xr3:uid="{156B6F3C-8A2D-427E-9B05-3A2046D02203}" name="Cost unit rate [@ recognition date]" dataDxfId="184" totalsRowDxfId="183"/>
    <tableColumn id="32" xr3:uid="{E60625EF-9877-40DB-A12F-461DE2E88325}" name="EUL" dataDxfId="182" totalsRowDxfId="181"/>
    <tableColumn id="33" xr3:uid="{6D4200AF-8631-4EDA-B036-186EC27527F1}" name="Residual %" dataDxfId="180" totalsRowDxfId="179"/>
    <tableColumn id="34" xr3:uid="{5C20267A-66D3-44BA-B0E6-10D3337859A6}" name="Residual Value" dataDxfId="178" totalsRowDxfId="177"/>
    <tableColumn id="35" xr3:uid="{2261A52E-CE1E-4741-829E-77A782F8079B}" name="Accounting Policy Change confirmation" dataDxfId="176" totalsRowDxfId="175"/>
    <tableColumn id="36" xr3:uid="{3A3C4410-5413-4AAD-91EC-FEF594F703E5}" name="Years utilised in Days " dataDxfId="174" totalsRowDxfId="173">
      <calculatedColumnFormula>AD3-AA3</calculatedColumnFormula>
    </tableColumn>
    <tableColumn id="37" xr3:uid="{7BD26A3D-F99B-4C29-9819-06A0547E7007}" name="Years utilised in Years" dataDxfId="172" totalsRowDxfId="171" dataCellStyle="Comma">
      <calculatedColumnFormula>AJ3/365</calculatedColumnFormula>
    </tableColumn>
    <tableColumn id="39" xr3:uid="{19BDB948-B0BE-4B7C-8CC1-02CDE15521F5}" name="Opening RUL" dataDxfId="170" totalsRowDxfId="169" dataCellStyle="Comma">
      <calculatedColumnFormula>#REF!+1</calculatedColumnFormula>
    </tableColumn>
    <tableColumn id="40" xr3:uid="{2E293CD0-492C-472D-8256-64738029E1E0}" name="RUL Adjustment" dataDxfId="168" totalsRowDxfId="167"/>
    <tableColumn id="41" xr3:uid="{8737B141-F3DA-48F9-A8DF-A6FC3A9E267F}" name="Opening RUL 30 June 2022" dataDxfId="166" totalsRowDxfId="165"/>
    <tableColumn id="42" xr3:uid="{18E594E1-1C4B-478C-B83D-CD431AC04451}" name="Closing RUL - June 2022" dataDxfId="164" totalsRowDxfId="163">
      <calculatedColumnFormula>Table3[[#This Row],[Opening RUL 30 June 2022]]-1</calculatedColumnFormula>
    </tableColumn>
    <tableColumn id="43" xr3:uid="{BD17BAD5-7EAB-4A6C-A184-21D276F9745A}" name="Condition Rate" dataDxfId="162" totalsRowDxfId="161"/>
    <tableColumn id="44" xr3:uid="{7A2CA1C2-27F5-47BB-8060-2D56F1B844C2}" name="Condition" dataDxfId="160" totalsRowDxfId="159"/>
    <tableColumn id="45" xr3:uid="{11CF4450-4D91-454E-BAFF-08B316E43445}" name="Valuation method" dataDxfId="158" totalsRowDxfId="157"/>
    <tableColumn id="46" xr3:uid="{4638EF64-AF81-4AE0-8A88-66B08E3843F2}" name="Cost Price (opening balance)" totalsRowFunction="custom" dataDxfId="156" totalsRowDxfId="155" dataCellStyle="Comma">
      <totalsRowFormula>SUBTOTAL(109,AS3:AS8)</totalsRowFormula>
    </tableColumn>
    <tableColumn id="47" xr3:uid="{52E8C9F4-71B4-43C7-A973-F34612B15A77}" name="Additions capitalised (@actual cost)" totalsRowFunction="custom" totalsRowDxfId="154">
      <totalsRowFormula>SUBTOTAL(109,AT3:AT8)</totalsRowFormula>
    </tableColumn>
    <tableColumn id="48" xr3:uid="{9CA9170B-1D46-43E7-9781-91A2994F5E7B}" name="Revaluation Adjustment Cost" totalsRowFunction="custom" dataDxfId="153" totalsRowDxfId="152" dataCellStyle="Comma">
      <totalsRowFormula>SUBTOTAL(109,AU3:AU8)</totalsRowFormula>
    </tableColumn>
    <tableColumn id="49" xr3:uid="{AFC1762F-67CA-4B61-8865-3010644E5131}" name="Derecognitions [-]" totalsRowFunction="custom" dataDxfId="151" totalsRowDxfId="150" dataCellStyle="Comma">
      <totalsRowFormula>SUBTOTAL(109,AV3:AV8)</totalsRowFormula>
    </tableColumn>
    <tableColumn id="50" xr3:uid="{B2E67E33-16B4-4C81-9550-C4C2ABD554D5}" name="Derecognition costs" totalsRowFunction="custom" dataDxfId="149" totalsRowDxfId="148" dataCellStyle="Comma">
      <totalsRowFormula>SUBTOTAL(109,AW3:AW8)</totalsRowFormula>
    </tableColumn>
    <tableColumn id="51" xr3:uid="{558CCE36-3DB7-4DEA-9E51-14430E3E3DC0}" name="Cost Price (closing balance)" totalsRowFunction="custom" dataDxfId="147" totalsRowDxfId="146" dataCellStyle="Comma">
      <totalsRowFormula>SUBTOTAL(109,AX3:AX8)</totalsRowFormula>
    </tableColumn>
    <tableColumn id="52" xr3:uid="{6BE07D9E-D54B-4CA0-939D-90CE6779BCD7}" name="Carrying value (opening balance)" totalsRowFunction="custom" dataDxfId="145" totalsRowDxfId="144" dataCellStyle="Comma">
      <totalsRowFormula>SUBTOTAL(109,AY3:AY8)</totalsRowFormula>
    </tableColumn>
    <tableColumn id="53" xr3:uid="{EA80F0F9-7A95-45E3-95EF-41DADE3B814F}" name="Revaluation Value" totalsRowFunction="custom" dataDxfId="143" totalsRowDxfId="142" dataCellStyle="Comma">
      <totalsRowFormula>SUBTOTAL(109,AZ3:AZ8)</totalsRowFormula>
    </tableColumn>
    <tableColumn id="54" xr3:uid="{4DD103C4-38E7-40F7-AB61-A7A401BF123F}" name="Provision on rehabilitation cost" totalsRowFunction="custom" dataDxfId="141" totalsRowDxfId="140" dataCellStyle="Comma">
      <totalsRowFormula>SUBTOTAL(109,BA3:BA8)</totalsRowFormula>
    </tableColumn>
    <tableColumn id="55" xr3:uid="{61DC6B58-F60F-4D69-8412-28B2B72055D4}" name="Fairvalue adjustment" totalsRowFunction="custom" dataDxfId="139" totalsRowDxfId="138" dataCellStyle="Comma">
      <totalsRowFormula>SUBTOTAL(109,BB3:BB8)</totalsRowFormula>
    </tableColumn>
    <tableColumn id="56" xr3:uid="{F99B28AE-6ECB-4CB3-B407-660261688320}" name="Accumulated depreciation (Opening balance)" totalsRowFunction="custom" dataDxfId="137" totalsRowDxfId="136" dataCellStyle="Comma">
      <totalsRowFormula>SUBTOTAL(109,BC3:BC8)</totalsRowFormula>
    </tableColumn>
    <tableColumn id="57" xr3:uid="{BCBC8F7D-CB84-4FBB-885E-A52D0F2D0B7C}" name="Revaluation adjustment Opening Accumulative depreciation" totalsRowFunction="custom" dataDxfId="135" totalsRowDxfId="134" dataCellStyle="Comma">
      <totalsRowFormula>SUBTOTAL(109,BD3:BD8)</totalsRowFormula>
    </tableColumn>
    <tableColumn id="58" xr3:uid="{3AA2EC8E-479B-4358-9A85-91D0726855A4}" name="Change in Accounting Policy" dataDxfId="133" totalsRowDxfId="132" dataCellStyle="Comma"/>
    <tableColumn id="59" xr3:uid="{C9DF52BE-0D20-43C0-9B9D-C1F7E48E289A}" name="Error Comments" dataDxfId="131" totalsRowDxfId="130" dataCellStyle="Comma"/>
    <tableColumn id="60" xr3:uid="{6D288188-AB92-438E-88DF-8E5DD3A97C8A}" name="Correction of RUL errors" dataDxfId="129" totalsRowDxfId="128" dataCellStyle="Comma"/>
    <tableColumn id="61" xr3:uid="{F308C96A-B683-45C7-9363-760CBF9D95B0}" name="Depreciation YTD" totalsRowFunction="sum" dataDxfId="127" totalsRowDxfId="126" dataCellStyle="Comma"/>
    <tableColumn id="62" xr3:uid="{C1517798-6163-45AE-A99D-2A6B38876E11}" name="Change in useful life effect" dataDxfId="125" totalsRowDxfId="124" dataCellStyle="Comma"/>
    <tableColumn id="63" xr3:uid="{5E7BE5EC-FB32-4CB4-85F7-C7BB752B2617}" name="Depreciation Method" dataDxfId="123" totalsRowDxfId="122" dataCellStyle="Comma"/>
    <tableColumn id="64" xr3:uid="{0BED7787-0006-4E56-9F92-07FA6D26A871}" name="Derecognitions (acc dep) [+]" dataDxfId="121" totalsRowDxfId="120" dataCellStyle="Comma"/>
    <tableColumn id="65" xr3:uid="{E68E3045-E5DC-4076-A041-8D777AF13746}" name="Accumulated depreciation (Closing balance)" totalsRowFunction="custom" dataDxfId="119" totalsRowDxfId="118" dataCellStyle="Comma">
      <calculatedColumnFormula>BC3+BH3</calculatedColumnFormula>
      <totalsRowFormula>SUBTOTAL(109,BL3:BL8)</totalsRowFormula>
    </tableColumn>
    <tableColumn id="66" xr3:uid="{90A31793-B3FF-46DB-AD49-86EE3C25AF28}" name="Accumulated impairments (Opening balance)" totalsRowFunction="custom" dataDxfId="117" totalsRowDxfId="116" dataCellStyle="Comma">
      <totalsRowFormula>SUBTOTAL(109,BM3:BM8)</totalsRowFormula>
    </tableColumn>
    <tableColumn id="67" xr3:uid="{8D322406-B248-4DBC-99F7-266C760C6A00}" name="Revaluation adjustment: Opening Accumulative impairments" totalsRowFunction="custom" dataDxfId="115" totalsRowDxfId="114" dataCellStyle="Comma">
      <totalsRowFormula>SUBTOTAL(109,BN3:BN8)</totalsRowFormula>
    </tableColumn>
    <tableColumn id="68" xr3:uid="{A104BD75-0167-4CF5-A7A8-58002DA3560E}" name="Annual impairment" totalsRowFunction="custom" dataDxfId="113" totalsRowDxfId="112" dataCellStyle="Comma">
      <totalsRowFormula>SUBTOTAL(109,BO3:BO8)</totalsRowFormula>
    </tableColumn>
    <tableColumn id="69" xr3:uid="{C11DD8CC-903D-4B6D-9520-555DB250D6E0}" name="Derecognition Impairment balance [+]" totalsRowFunction="custom" dataDxfId="111" totalsRowDxfId="110" dataCellStyle="Comma">
      <totalsRowFormula>SUBTOTAL(109,BP3:BP8)</totalsRowFormula>
    </tableColumn>
    <tableColumn id="70" xr3:uid="{1ADB7594-E254-4B31-BE8E-15241E34C979}" name="Accumulated impairments (Closing balance)" totalsRowFunction="custom" dataDxfId="109" totalsRowDxfId="108" dataCellStyle="Comma">
      <totalsRowFormula>SUBTOTAL(109,BQ3:BQ8)</totalsRowFormula>
    </tableColumn>
    <tableColumn id="71" xr3:uid="{91310439-03C3-4BB9-99BF-DA3FD5B893E4}" name="Carrying value (closing balance)" totalsRowFunction="custom" dataDxfId="107" totalsRowDxfId="106" dataCellStyle="Comma">
      <calculatedColumnFormula>AX3+BL3+BQ3</calculatedColumnFormula>
      <totalsRowFormula>SUBTOTAL(109,BR3:BR8)</totalsRowFormula>
    </tableColumn>
    <tableColumn id="72" xr3:uid="{B0A54333-BFE2-4CC3-8757-7276360228DA}" name="Derecognitions date " dataDxfId="105" totalsRowDxfId="104" dataCellStyle="Comma"/>
    <tableColumn id="73" xr3:uid="{0B3CFFED-0143-4F60-827D-DCC00BCD9DD7}" name="Depreciation if no impairment took place - Depreciation" dataDxfId="103" totalsRowDxfId="102" dataCellStyle="Comma"/>
    <tableColumn id="74" xr3:uid="{CE630A23-E5FB-4900-BDA2-35FE4C973373}" name="Depreciation if no impairment took place - Accumulative total" dataDxfId="101" totalsRowDxfId="100" dataCellStyle="Comma"/>
    <tableColumn id="75" xr3:uid="{E2EF165D-D457-474A-B050-9730812BB61A}" name="Method Acquired" dataDxfId="99" totalsRowDxfId="98"/>
    <tableColumn id="76" xr3:uid="{D3D7B24D-2B2A-4FAC-987D-A909F6FDB025}" name="Funding type" dataDxfId="97" totalsRowDxfId="96"/>
    <tableColumn id="77" xr3:uid="{ADEDF7AB-2071-4E2D-92E3-31CC598B4456}" name="DEPARTMENT" dataDxfId="95" totalsRowDxfId="94"/>
    <tableColumn id="78" xr3:uid="{948F9E38-7E27-47F2-974E-D75F2DC358A9}" name="Asset Custodian/ Responsible Person" dataDxfId="93" totalsRowDxfId="92"/>
    <tableColumn id="79" xr3:uid="{F0CDB349-C44E-49EC-8CDB-555F64D12AA6}" name="S/N" dataDxfId="91" totalsRowDxfId="90"/>
    <tableColumn id="80" xr3:uid="{C68DE969-EDE1-4D30-86D9-AE37DD9A1499}" name="Make" dataDxfId="89" totalsRowDxfId="88"/>
    <tableColumn id="81" xr3:uid="{99E873B5-C16A-4189-83B4-ABF66A607354}" name="Model" dataDxfId="87" totalsRowDxfId="86"/>
    <tableColumn id="82" xr3:uid="{A6873E00-D452-4E33-9A5F-6EC03766748B}" name="Insurance" dataDxfId="85" totalsRowDxfId="84"/>
    <tableColumn id="83" xr3:uid="{A27B2E11-6E33-44BC-A786-2F971E55B4B8}" name="Column1" dataDxfId="83" totalsRowDxfId="8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2:I38"/>
  <sheetViews>
    <sheetView showGridLines="0" zoomScale="80" zoomScaleNormal="80" workbookViewId="0">
      <selection activeCell="A15" sqref="A15:XFD15"/>
    </sheetView>
  </sheetViews>
  <sheetFormatPr defaultColWidth="8.81640625" defaultRowHeight="14.5"/>
  <cols>
    <col min="3" max="3" width="33.453125" customWidth="1"/>
    <col min="4" max="4" width="17.1796875" customWidth="1"/>
    <col min="5" max="5" width="29.453125" customWidth="1"/>
    <col min="6" max="6" width="25" customWidth="1"/>
    <col min="7" max="7" width="11.453125" customWidth="1"/>
    <col min="8" max="8" width="15.6328125" customWidth="1"/>
    <col min="9" max="9" width="14.1796875" customWidth="1"/>
  </cols>
  <sheetData>
    <row r="2" spans="1:9">
      <c r="A2" s="267" t="s">
        <v>141</v>
      </c>
      <c r="B2" s="267"/>
      <c r="C2" s="267"/>
      <c r="D2" s="267"/>
      <c r="E2" s="267"/>
      <c r="F2" s="267"/>
      <c r="G2" s="267"/>
      <c r="H2" s="267"/>
      <c r="I2" s="267"/>
    </row>
    <row r="3" spans="1:9">
      <c r="A3" s="56" t="s">
        <v>143</v>
      </c>
      <c r="B3" s="267" t="s">
        <v>142</v>
      </c>
      <c r="C3" s="267"/>
      <c r="D3" s="267"/>
      <c r="E3" s="267"/>
      <c r="F3" s="267"/>
      <c r="G3" s="267"/>
      <c r="H3" s="56">
        <v>2022</v>
      </c>
      <c r="I3" s="56">
        <v>2023</v>
      </c>
    </row>
    <row r="4" spans="1:9">
      <c r="A4" s="57"/>
      <c r="B4" s="268" t="s">
        <v>803</v>
      </c>
      <c r="C4" s="269"/>
      <c r="D4" s="269"/>
      <c r="E4" s="269"/>
      <c r="F4" s="269"/>
      <c r="G4" s="66"/>
      <c r="H4" s="63"/>
      <c r="I4" s="58"/>
    </row>
    <row r="5" spans="1:9">
      <c r="A5" s="59">
        <v>1</v>
      </c>
      <c r="B5" s="59" t="s">
        <v>144</v>
      </c>
      <c r="C5" s="18" t="s">
        <v>804</v>
      </c>
      <c r="H5" s="64"/>
      <c r="I5" s="212">
        <f>-I10</f>
        <v>99239.559504252044</v>
      </c>
    </row>
    <row r="6" spans="1:9">
      <c r="A6" s="59">
        <v>1</v>
      </c>
      <c r="B6" s="59" t="s">
        <v>144</v>
      </c>
      <c r="C6" s="18" t="s">
        <v>805</v>
      </c>
      <c r="H6" s="64"/>
      <c r="I6" s="209">
        <f>-I11</f>
        <v>1306109.9211958311</v>
      </c>
    </row>
    <row r="7" spans="1:9">
      <c r="A7" s="59">
        <v>1</v>
      </c>
      <c r="B7" s="59" t="s">
        <v>144</v>
      </c>
      <c r="C7" s="18" t="s">
        <v>806</v>
      </c>
      <c r="H7" s="64"/>
      <c r="I7" s="212">
        <f>-I12</f>
        <v>69472.913616398248</v>
      </c>
    </row>
    <row r="8" spans="1:9">
      <c r="A8" s="59">
        <v>1</v>
      </c>
      <c r="B8" s="59" t="s">
        <v>144</v>
      </c>
      <c r="C8" s="18" t="s">
        <v>807</v>
      </c>
      <c r="H8" s="64"/>
      <c r="I8" s="70">
        <v>324278.04994804598</v>
      </c>
    </row>
    <row r="9" spans="1:9">
      <c r="A9" s="59">
        <v>1</v>
      </c>
      <c r="B9" s="59" t="s">
        <v>144</v>
      </c>
      <c r="C9" s="18" t="s">
        <v>808</v>
      </c>
      <c r="H9" s="64"/>
      <c r="I9" s="209">
        <f>-I14</f>
        <v>71032.240260599283</v>
      </c>
    </row>
    <row r="10" spans="1:9">
      <c r="A10" s="59">
        <v>1</v>
      </c>
      <c r="B10" s="59" t="s">
        <v>145</v>
      </c>
      <c r="C10" s="18" t="s">
        <v>809</v>
      </c>
      <c r="H10" s="64"/>
      <c r="I10" s="212">
        <f>'Disclosure per Register'!H15</f>
        <v>-99239.559504252044</v>
      </c>
    </row>
    <row r="11" spans="1:9">
      <c r="A11" s="59">
        <v>1</v>
      </c>
      <c r="B11" s="59" t="s">
        <v>144</v>
      </c>
      <c r="C11" s="18" t="s">
        <v>810</v>
      </c>
      <c r="H11" s="64"/>
      <c r="I11" s="209">
        <f>'Disclosure per Register'!H16</f>
        <v>-1306109.9211958311</v>
      </c>
    </row>
    <row r="12" spans="1:9">
      <c r="A12" s="59">
        <v>1</v>
      </c>
      <c r="B12" s="59" t="s">
        <v>145</v>
      </c>
      <c r="C12" s="18" t="s">
        <v>811</v>
      </c>
      <c r="H12" s="64"/>
      <c r="I12" s="212">
        <f>'Disclosure per Register'!H17</f>
        <v>-69472.913616398248</v>
      </c>
    </row>
    <row r="13" spans="1:9">
      <c r="A13" s="59">
        <v>1</v>
      </c>
      <c r="B13" s="59" t="s">
        <v>144</v>
      </c>
      <c r="C13" s="18" t="s">
        <v>812</v>
      </c>
      <c r="H13" s="64"/>
      <c r="I13" s="70">
        <f>'Disclosure per Register'!H18</f>
        <v>-945935.22549999983</v>
      </c>
    </row>
    <row r="14" spans="1:9">
      <c r="A14" s="59">
        <v>1</v>
      </c>
      <c r="B14" s="59" t="s">
        <v>145</v>
      </c>
      <c r="C14" s="18" t="s">
        <v>813</v>
      </c>
      <c r="H14" s="64"/>
      <c r="I14" s="209">
        <f>'Disclosure per Register'!H19</f>
        <v>-71032.240260599283</v>
      </c>
    </row>
    <row r="15" spans="1:9">
      <c r="A15" s="59"/>
      <c r="B15" s="68" t="s">
        <v>146</v>
      </c>
      <c r="C15" s="67"/>
      <c r="D15" s="67"/>
      <c r="E15" s="67"/>
      <c r="F15" s="67"/>
      <c r="G15" s="62"/>
      <c r="H15" s="64"/>
      <c r="I15" s="60"/>
    </row>
    <row r="16" spans="1:9">
      <c r="A16" s="59"/>
      <c r="B16" s="59"/>
      <c r="H16" s="64"/>
      <c r="I16" s="60"/>
    </row>
    <row r="17" spans="1:9">
      <c r="A17" s="59"/>
      <c r="B17" s="270"/>
      <c r="C17" s="271"/>
      <c r="D17" s="271"/>
      <c r="E17" s="271"/>
      <c r="F17" s="271"/>
      <c r="H17" s="64"/>
      <c r="I17" s="60"/>
    </row>
    <row r="18" spans="1:9">
      <c r="A18" s="59">
        <v>2</v>
      </c>
      <c r="B18" s="59" t="s">
        <v>144</v>
      </c>
      <c r="C18" s="18" t="s">
        <v>810</v>
      </c>
      <c r="H18" s="69"/>
      <c r="I18" s="70">
        <v>25227.813333333299</v>
      </c>
    </row>
    <row r="19" spans="1:9">
      <c r="A19" s="59">
        <v>2</v>
      </c>
      <c r="B19" s="59" t="s">
        <v>144</v>
      </c>
      <c r="C19" s="112" t="s">
        <v>815</v>
      </c>
      <c r="H19" s="69"/>
      <c r="I19" s="70">
        <v>475.99666666670203</v>
      </c>
    </row>
    <row r="20" spans="1:9">
      <c r="A20" s="59">
        <v>2</v>
      </c>
      <c r="B20" s="59" t="s">
        <v>145</v>
      </c>
      <c r="C20" s="18" t="s">
        <v>103</v>
      </c>
      <c r="H20" s="69"/>
      <c r="I20" s="70">
        <v>-25703.81</v>
      </c>
    </row>
    <row r="21" spans="1:9">
      <c r="A21" s="59"/>
      <c r="B21" s="59"/>
      <c r="H21" s="69"/>
      <c r="I21" s="70"/>
    </row>
    <row r="22" spans="1:9">
      <c r="A22" s="59">
        <v>2</v>
      </c>
      <c r="B22" s="59" t="s">
        <v>144</v>
      </c>
      <c r="C22" s="18" t="s">
        <v>813</v>
      </c>
      <c r="H22" s="69"/>
      <c r="I22" s="70">
        <v>13792.604079953</v>
      </c>
    </row>
    <row r="23" spans="1:9">
      <c r="A23" s="59">
        <v>2</v>
      </c>
      <c r="B23" s="59" t="s">
        <v>144</v>
      </c>
      <c r="C23" s="112" t="s">
        <v>815</v>
      </c>
      <c r="H23" s="69"/>
      <c r="I23" s="70">
        <v>8192.2659200470007</v>
      </c>
    </row>
    <row r="24" spans="1:9">
      <c r="A24" s="59">
        <v>2</v>
      </c>
      <c r="B24" s="59" t="s">
        <v>145</v>
      </c>
      <c r="C24" s="18" t="s">
        <v>623</v>
      </c>
      <c r="H24" s="69"/>
      <c r="I24" s="70">
        <v>-21984.87</v>
      </c>
    </row>
    <row r="25" spans="1:9">
      <c r="A25" s="59"/>
      <c r="B25" s="68" t="s">
        <v>814</v>
      </c>
      <c r="C25" s="67"/>
      <c r="D25" s="67"/>
      <c r="E25" s="67"/>
      <c r="F25" s="67"/>
      <c r="G25" s="62"/>
      <c r="H25" s="64"/>
      <c r="I25" s="60"/>
    </row>
    <row r="26" spans="1:9">
      <c r="A26" s="59"/>
      <c r="B26" s="59"/>
      <c r="H26" s="64"/>
      <c r="I26" s="60"/>
    </row>
    <row r="27" spans="1:9">
      <c r="A27" s="59">
        <v>3</v>
      </c>
      <c r="B27" s="59" t="s">
        <v>144</v>
      </c>
      <c r="C27" s="18" t="s">
        <v>809</v>
      </c>
      <c r="H27" s="64"/>
      <c r="I27" s="212">
        <f>GETPIVOTDATA("Sum of Derecognitions (acc dep) [+]",'FAR Pivot'!$A$3,"Asset Category","Movable assets","Asset Sub Category","FURNITURE AND FITTINGS","Sub class Item","Other Assets")</f>
        <v>0</v>
      </c>
    </row>
    <row r="28" spans="1:9">
      <c r="A28" s="59">
        <v>3</v>
      </c>
      <c r="B28" s="59" t="s">
        <v>144</v>
      </c>
      <c r="C28" s="112" t="s">
        <v>815</v>
      </c>
      <c r="H28" s="64"/>
      <c r="I28" s="212">
        <v>38489.935956284098</v>
      </c>
    </row>
    <row r="29" spans="1:9">
      <c r="A29" s="59">
        <v>3</v>
      </c>
      <c r="B29" s="59" t="s">
        <v>145</v>
      </c>
      <c r="C29" s="18" t="s">
        <v>816</v>
      </c>
      <c r="H29" s="64"/>
      <c r="I29" s="212">
        <f>GETPIVOTDATA("Sum of Derecognitions [-]",'FAR Pivot'!$A$3,"Asset Category","Movable assets","Asset Sub Category","FURNITURE AND FITTINGS","Sub class Item","Other Assets")</f>
        <v>0</v>
      </c>
    </row>
    <row r="30" spans="1:9">
      <c r="A30" s="59"/>
      <c r="B30" s="59"/>
      <c r="H30" s="64"/>
      <c r="I30" s="60"/>
    </row>
    <row r="31" spans="1:9">
      <c r="A31" s="59">
        <v>3</v>
      </c>
      <c r="B31" s="59" t="s">
        <v>144</v>
      </c>
      <c r="C31" s="18" t="s">
        <v>810</v>
      </c>
      <c r="H31" s="64"/>
      <c r="I31" s="211">
        <f>GETPIVOTDATA("Sum of Derecognitions (acc dep) [+]",'FAR Pivot'!$A$3,"Asset Category","Movable assets","Asset Sub Category","COMPUTER EQUIPMENT","Sub class Item","Other Assets")-I18</f>
        <v>-25227.813333333299</v>
      </c>
    </row>
    <row r="32" spans="1:9">
      <c r="A32" s="59">
        <v>3</v>
      </c>
      <c r="B32" s="59" t="s">
        <v>144</v>
      </c>
      <c r="C32" s="112" t="s">
        <v>815</v>
      </c>
      <c r="H32" s="64"/>
      <c r="I32" s="211">
        <v>278581.57789324899</v>
      </c>
    </row>
    <row r="33" spans="1:9">
      <c r="A33" s="59">
        <v>3</v>
      </c>
      <c r="B33" s="59" t="s">
        <v>145</v>
      </c>
      <c r="C33" s="18" t="s">
        <v>103</v>
      </c>
      <c r="H33" s="64"/>
      <c r="I33" s="211">
        <f>GETPIVOTDATA("Sum of Derecognitions [-]",'FAR Pivot'!$A$3,"Asset Category","Movable assets","Asset Sub Category","COMPUTER EQUIPMENT","Sub class Item","Other Assets")</f>
        <v>0</v>
      </c>
    </row>
    <row r="34" spans="1:9">
      <c r="A34" s="59"/>
      <c r="B34" s="59"/>
      <c r="H34" s="64"/>
      <c r="I34" s="210"/>
    </row>
    <row r="35" spans="1:9">
      <c r="A35" s="59">
        <v>3</v>
      </c>
      <c r="B35" s="59" t="s">
        <v>144</v>
      </c>
      <c r="C35" s="18" t="s">
        <v>813</v>
      </c>
      <c r="H35" s="64"/>
      <c r="I35" s="211">
        <f>GETPIVOTDATA("Sum of Derecognitions (acc dep) [+]",'FAR Pivot'!$A$3,"Asset Category","Movable assets","Asset Sub Category","OFFICE EQUIPMENT AND TOOLS","Sub class Item","Other Assets")-I22</f>
        <v>-13792.604079953</v>
      </c>
    </row>
    <row r="36" spans="1:9">
      <c r="A36" s="59">
        <v>3</v>
      </c>
      <c r="B36" s="59" t="s">
        <v>144</v>
      </c>
      <c r="C36" s="112" t="s">
        <v>815</v>
      </c>
      <c r="H36" s="64"/>
      <c r="I36" s="211">
        <v>29765.057531889001</v>
      </c>
    </row>
    <row r="37" spans="1:9">
      <c r="A37" s="59">
        <v>3</v>
      </c>
      <c r="B37" s="59" t="s">
        <v>145</v>
      </c>
      <c r="C37" s="18" t="s">
        <v>623</v>
      </c>
      <c r="H37" s="64"/>
      <c r="I37" s="211">
        <f>GETPIVOTDATA("Sum of Derecognitions [-]",'FAR Pivot'!$A$3,"Asset Category","Movable assets","Asset Sub Category","OFFICE EQUIPMENT AND TOOLS","Sub class Item","Other Assets")-I24</f>
        <v>21984.87</v>
      </c>
    </row>
    <row r="38" spans="1:9">
      <c r="A38" s="61"/>
      <c r="B38" s="68" t="s">
        <v>814</v>
      </c>
      <c r="C38" s="67"/>
      <c r="D38" s="67"/>
      <c r="E38" s="67"/>
      <c r="F38" s="67"/>
      <c r="G38" s="67"/>
      <c r="H38" s="65"/>
      <c r="I38" s="62"/>
    </row>
  </sheetData>
  <mergeCells count="4">
    <mergeCell ref="A2:I2"/>
    <mergeCell ref="B3:G3"/>
    <mergeCell ref="B4:F4"/>
    <mergeCell ref="B17:F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1" tint="0.34998626667073579"/>
  </sheetPr>
  <dimension ref="A15:K37"/>
  <sheetViews>
    <sheetView showGridLines="0" topLeftCell="A16" zoomScale="80" zoomScaleNormal="80" workbookViewId="0">
      <selection activeCell="G17" sqref="G17"/>
    </sheetView>
  </sheetViews>
  <sheetFormatPr defaultColWidth="8.81640625" defaultRowHeight="14.5"/>
  <cols>
    <col min="1" max="1" width="5.1796875" customWidth="1"/>
    <col min="2" max="2" width="12.1796875" customWidth="1"/>
    <col min="3" max="3" width="11.36328125" customWidth="1"/>
    <col min="5" max="5" width="14.453125" customWidth="1"/>
    <col min="6" max="6" width="21.6328125" customWidth="1"/>
    <col min="7" max="7" width="15.453125" customWidth="1"/>
    <col min="9" max="9" width="14.36328125" customWidth="1"/>
    <col min="10" max="10" width="16.6328125" customWidth="1"/>
    <col min="11" max="11" width="14.453125" customWidth="1"/>
  </cols>
  <sheetData>
    <row r="15" spans="1:7">
      <c r="E15" s="272" t="s">
        <v>138</v>
      </c>
      <c r="F15" s="272"/>
      <c r="G15" s="272"/>
    </row>
    <row r="16" spans="1:7">
      <c r="A16" s="49" t="s">
        <v>132</v>
      </c>
      <c r="E16" s="272">
        <v>2019</v>
      </c>
      <c r="F16" s="272"/>
      <c r="G16" s="272"/>
    </row>
    <row r="17" spans="2:11" ht="52.5" customHeight="1">
      <c r="E17" s="48" t="s">
        <v>135</v>
      </c>
      <c r="F17" s="51" t="s">
        <v>136</v>
      </c>
      <c r="G17" s="48" t="s">
        <v>137</v>
      </c>
      <c r="I17" s="48"/>
      <c r="J17" s="51"/>
      <c r="K17" s="48"/>
    </row>
    <row r="18" spans="2:11">
      <c r="B18" s="50" t="s">
        <v>133</v>
      </c>
    </row>
    <row r="19" spans="2:11">
      <c r="B19" t="s">
        <v>134</v>
      </c>
      <c r="E19" s="52">
        <v>20868154</v>
      </c>
      <c r="F19" s="52">
        <v>-17196748</v>
      </c>
      <c r="G19" s="52">
        <f>E19+F19</f>
        <v>3671406</v>
      </c>
    </row>
    <row r="20" spans="2:11" ht="15" thickBot="1">
      <c r="B20" s="49" t="s">
        <v>75</v>
      </c>
      <c r="E20" s="53">
        <f>SUM(E19)</f>
        <v>20868154</v>
      </c>
      <c r="F20" s="53">
        <f>SUM(F19)</f>
        <v>-17196748</v>
      </c>
      <c r="G20" s="53">
        <f>SUM(G19)</f>
        <v>3671406</v>
      </c>
    </row>
    <row r="21" spans="2:11" ht="15" thickTop="1"/>
    <row r="22" spans="2:11">
      <c r="E22" s="272" t="s">
        <v>139</v>
      </c>
      <c r="F22" s="272"/>
      <c r="G22" s="272"/>
    </row>
    <row r="23" spans="2:11">
      <c r="E23" s="272">
        <v>2019</v>
      </c>
      <c r="F23" s="272"/>
      <c r="G23" s="272"/>
    </row>
    <row r="24" spans="2:11" ht="43.5">
      <c r="E24" s="48" t="s">
        <v>135</v>
      </c>
      <c r="F24" s="51" t="s">
        <v>136</v>
      </c>
      <c r="G24" s="48" t="s">
        <v>137</v>
      </c>
    </row>
    <row r="25" spans="2:11">
      <c r="B25" s="18" t="s">
        <v>102</v>
      </c>
      <c r="E25" s="52">
        <v>1392555.5659305719</v>
      </c>
      <c r="F25" s="52">
        <v>-705661.04865577852</v>
      </c>
      <c r="G25" s="52">
        <v>686894.51727479335</v>
      </c>
    </row>
    <row r="26" spans="2:11">
      <c r="B26" s="18" t="s">
        <v>128</v>
      </c>
      <c r="E26" s="52">
        <v>2873711.688310165</v>
      </c>
      <c r="F26" s="52">
        <v>-1922840.2946613731</v>
      </c>
      <c r="G26" s="52">
        <v>950871.39364879183</v>
      </c>
    </row>
    <row r="27" spans="2:11">
      <c r="B27" s="18" t="s">
        <v>103</v>
      </c>
      <c r="E27" s="52">
        <v>2287443.0422530714</v>
      </c>
      <c r="F27" s="52">
        <v>-1000872.7682207257</v>
      </c>
      <c r="G27" s="52">
        <v>1286570.2740323457</v>
      </c>
    </row>
    <row r="28" spans="2:11">
      <c r="B28" s="18" t="s">
        <v>104</v>
      </c>
      <c r="E28" s="52">
        <v>852504.67041952198</v>
      </c>
      <c r="F28" s="52">
        <v>-367477.36048930639</v>
      </c>
      <c r="G28" s="52">
        <v>485027.30993021559</v>
      </c>
    </row>
    <row r="29" spans="2:11">
      <c r="B29" s="18" t="s">
        <v>105</v>
      </c>
      <c r="E29" s="52">
        <v>9310065.9930384625</v>
      </c>
      <c r="F29" s="52">
        <v>-6390789.7256486379</v>
      </c>
      <c r="G29" s="52">
        <v>2919276.2673898246</v>
      </c>
    </row>
    <row r="30" spans="2:11">
      <c r="B30" s="18" t="s">
        <v>106</v>
      </c>
      <c r="E30" s="52">
        <v>4302267.1695232848</v>
      </c>
      <c r="F30" s="52">
        <v>-2116675.9306215243</v>
      </c>
      <c r="G30" s="52">
        <v>2185591.2389017604</v>
      </c>
    </row>
    <row r="31" spans="2:11" ht="15" thickBot="1">
      <c r="B31" s="49" t="s">
        <v>75</v>
      </c>
      <c r="E31" s="53">
        <f>SUM(E25:E30)</f>
        <v>21018548.129475076</v>
      </c>
      <c r="F31" s="53">
        <f>SUM(F25:F30)</f>
        <v>-12504317.128297348</v>
      </c>
      <c r="G31" s="53">
        <f>SUM(G25:G30)</f>
        <v>8514231.0011777319</v>
      </c>
    </row>
    <row r="32" spans="2:11" ht="15" thickTop="1"/>
    <row r="33" spans="2:7">
      <c r="E33" s="272" t="s">
        <v>140</v>
      </c>
      <c r="F33" s="272"/>
      <c r="G33" s="272"/>
    </row>
    <row r="34" spans="2:7" ht="43.5">
      <c r="E34" s="48" t="s">
        <v>135</v>
      </c>
      <c r="F34" s="51" t="s">
        <v>136</v>
      </c>
      <c r="G34" s="48" t="s">
        <v>137</v>
      </c>
    </row>
    <row r="35" spans="2:7">
      <c r="B35" t="s">
        <v>134</v>
      </c>
      <c r="E35" s="54">
        <f>E20-E31</f>
        <v>-150394.12947507575</v>
      </c>
      <c r="F35" s="54">
        <f>F20-F31</f>
        <v>-4692430.8717026524</v>
      </c>
      <c r="G35" s="54">
        <f>G20-G31</f>
        <v>-4842825.0011777319</v>
      </c>
    </row>
    <row r="36" spans="2:7" ht="15" thickBot="1">
      <c r="E36" s="55">
        <f>SUM(E35)</f>
        <v>-150394.12947507575</v>
      </c>
      <c r="F36" s="55">
        <f>SUM(F35)</f>
        <v>-4692430.8717026524</v>
      </c>
      <c r="G36" s="55">
        <f>SUM(G35)</f>
        <v>-4842825.0011777319</v>
      </c>
    </row>
    <row r="37" spans="2:7" ht="15" thickTop="1"/>
  </sheetData>
  <mergeCells count="5">
    <mergeCell ref="E16:G16"/>
    <mergeCell ref="E15:G15"/>
    <mergeCell ref="E22:G22"/>
    <mergeCell ref="E23:G23"/>
    <mergeCell ref="E33:G3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L40"/>
  <sheetViews>
    <sheetView zoomScale="70" zoomScaleNormal="70" workbookViewId="0">
      <selection activeCell="E9" sqref="E9"/>
    </sheetView>
  </sheetViews>
  <sheetFormatPr defaultColWidth="9.1796875" defaultRowHeight="14.5"/>
  <cols>
    <col min="1" max="1" width="3.6328125" style="18" customWidth="1"/>
    <col min="2" max="2" width="52.453125" style="18" customWidth="1"/>
    <col min="3" max="3" width="16.453125" style="18" customWidth="1"/>
    <col min="4" max="9" width="18.1796875" style="18" customWidth="1"/>
    <col min="10" max="10" width="16.1796875" style="18" bestFit="1" customWidth="1"/>
    <col min="11" max="11" width="15" style="18" bestFit="1" customWidth="1"/>
    <col min="12" max="12" width="12.81640625" style="18" bestFit="1" customWidth="1"/>
    <col min="13" max="13" width="12.36328125" style="18" bestFit="1" customWidth="1"/>
    <col min="14" max="14" width="9.1796875" style="18"/>
    <col min="15" max="15" width="13.81640625" style="18" bestFit="1" customWidth="1"/>
    <col min="16" max="16" width="12.81640625" style="18" bestFit="1" customWidth="1"/>
    <col min="17" max="17" width="12.36328125" style="18" bestFit="1" customWidth="1"/>
    <col min="18" max="16384" width="9.1796875" style="18"/>
  </cols>
  <sheetData>
    <row r="1" spans="1:12">
      <c r="A1" s="17" t="s">
        <v>93</v>
      </c>
    </row>
    <row r="2" spans="1:12">
      <c r="C2" s="19"/>
      <c r="D2" s="16">
        <v>2026</v>
      </c>
      <c r="E2" s="19"/>
      <c r="G2" s="19"/>
      <c r="H2" s="16">
        <v>2025</v>
      </c>
      <c r="I2" s="19"/>
    </row>
    <row r="3" spans="1:12" ht="58">
      <c r="C3" s="5" t="s">
        <v>94</v>
      </c>
      <c r="D3" s="6" t="s">
        <v>95</v>
      </c>
      <c r="E3" s="5" t="s">
        <v>96</v>
      </c>
      <c r="F3" s="43"/>
      <c r="G3" s="5" t="s">
        <v>94</v>
      </c>
      <c r="H3" s="6" t="s">
        <v>95</v>
      </c>
      <c r="I3" s="5" t="s">
        <v>96</v>
      </c>
    </row>
    <row r="4" spans="1:12">
      <c r="A4" s="20" t="s">
        <v>129</v>
      </c>
      <c r="C4" s="7"/>
      <c r="D4" s="8"/>
      <c r="E4" s="7"/>
      <c r="F4" s="43"/>
      <c r="G4" s="7"/>
      <c r="H4" s="8"/>
      <c r="I4" s="7"/>
    </row>
    <row r="5" spans="1:12">
      <c r="A5" s="20"/>
      <c r="B5" s="18" t="s">
        <v>128</v>
      </c>
      <c r="C5" s="41">
        <f>GETPIVOTDATA("Sum of Cost Price (closing balance)",'FAR Pivot'!$A$3,"Asset Category","Movable assets","Asset Sub Category","FURNITURE AND FITTINGS","Sub class Item","Other Assets")</f>
        <v>1565342.9999999965</v>
      </c>
      <c r="D5" s="42">
        <f>GETPIVOTDATA("Sum of Accumulated depreciation (Closing balance)",'FAR Pivot'!$A$3,"Asset Category","Movable assets","Asset Sub Category","FURNITURE AND FITTINGS","Sub class Item","Other Assets")</f>
        <v>-1472008.8435862924</v>
      </c>
      <c r="E5" s="44">
        <f>C5+D5</f>
        <v>93334.156413704157</v>
      </c>
      <c r="F5" s="43"/>
      <c r="G5" s="41">
        <f>GETPIVOTDATA("Sum of Cost Price (opening balance)",'FAR Pivot'!$A$3,"Asset Category","Movable assets","Asset Sub Category","FURNITURE AND FITTINGS","Sub class Item","Other Assets")</f>
        <v>1565342.9999999965</v>
      </c>
      <c r="H5" s="42">
        <f>GETPIVOTDATA("Sum of Accumulated depreciation (Opening balance)",'FAR Pivot'!$A$3,"Asset Category","Movable assets","Asset Sub Category","FURNITURE AND FITTINGS","Sub class Item","Other Assets")</f>
        <v>-1372769.2840820358</v>
      </c>
      <c r="I5" s="44">
        <f>G5+H5</f>
        <v>192573.71591796074</v>
      </c>
    </row>
    <row r="6" spans="1:12">
      <c r="A6" s="20"/>
      <c r="B6" s="18" t="s">
        <v>103</v>
      </c>
      <c r="C6" s="41">
        <f>GETPIVOTDATA("Sum of Cost Price (closing balance)",'FAR Pivot'!$A$3,"Asset Category","Movable assets","Asset Sub Category","COMPUTER EQUIPMENT","Sub class Item","Other Assets")</f>
        <v>7940229.1564999986</v>
      </c>
      <c r="D6" s="42">
        <f>GETPIVOTDATA("Sum of Accumulated depreciation (Closing balance)",'FAR Pivot'!$A$3,"Asset Category","Movable assets","Asset Sub Category","COMPUTER EQUIPMENT","Sub class Item","Other Assets")+GETPIVOTDATA("Sum of Accumulated impairments (Closing balance)",'FAR Pivot'!$A$3,"Asset Category","Movable assets","Asset Sub Category","COMPUTER EQUIPMENT","Sub class Item","Other Assets")-GETPIVOTDATA("Sum of Accumulated impairments (Closing balance)",'FAR Pivot'!$A$3,"Asset Category","Movable assets","Asset Sub Category","COMPUTER EQUIPMENT","Sub class Item","Other Assets")</f>
        <v>-3606993.4561444824</v>
      </c>
      <c r="E6" s="44">
        <f t="shared" ref="E6:E9" si="0">C6+D6</f>
        <v>4333235.7003555167</v>
      </c>
      <c r="F6" s="43"/>
      <c r="G6" s="41">
        <f>GETPIVOTDATA("Sum of Cost Price (opening balance)",'FAR Pivot'!$A$3,"Asset Category","Movable assets","Asset Sub Category","COMPUTER EQUIPMENT","Sub class Item","Other Assets")</f>
        <v>7929500.806499999</v>
      </c>
      <c r="H6" s="42">
        <f>GETPIVOTDATA("Sum of Accumulated depreciation (Opening balance)",'FAR Pivot'!$A$3,"Asset Category","Movable assets","Asset Sub Category","COMPUTER EQUIPMENT","Sub class Item","Other Assets")</f>
        <v>-2300883.5349486521</v>
      </c>
      <c r="I6" s="44">
        <f t="shared" ref="I6:I9" si="1">G6+H6</f>
        <v>5628617.2715513464</v>
      </c>
    </row>
    <row r="7" spans="1:12">
      <c r="A7" s="20"/>
      <c r="B7" s="18" t="s">
        <v>105</v>
      </c>
      <c r="C7" s="41">
        <f>GETPIVOTDATA("Sum of Cost Price (closing balance)",'FAR Pivot'!$A$3,"Asset Category","Movable assets","Asset Sub Category","MOTOR VEHICLES","Sub class Item","Other Assets")</f>
        <v>456050.95338458859</v>
      </c>
      <c r="D7" s="42">
        <f>GETPIVOTDATA("Sum of Accumulated depreciation (Closing balance)",'FAR Pivot'!$A$3,"Asset Category","Movable assets","Asset Sub Category","MOTOR VEHICLES","Sub class Item","Other Assets")</f>
        <v>-395523.86700098682</v>
      </c>
      <c r="E7" s="44">
        <f t="shared" si="0"/>
        <v>60527.086383601767</v>
      </c>
      <c r="F7" s="43"/>
      <c r="G7" s="41">
        <f>GETPIVOTDATA("Sum of Cost Price (opening balance)",'FAR Pivot'!$A$3,"Asset Category","Movable assets","Asset Sub Category","MOTOR VEHICLES","Sub class Item","Other Assets")</f>
        <v>456050.95338458859</v>
      </c>
      <c r="H7" s="42">
        <f>GETPIVOTDATA("Sum of Accumulated depreciation (Opening balance)",'FAR Pivot'!$A$3,"Asset Category","Movable assets","Asset Sub Category","MOTOR VEHICLES","Sub class Item","Other Assets")</f>
        <v>-326050.95338458859</v>
      </c>
      <c r="I7" s="44">
        <f t="shared" si="1"/>
        <v>130000</v>
      </c>
      <c r="J7" s="26"/>
    </row>
    <row r="8" spans="1:12">
      <c r="A8" s="20"/>
      <c r="B8" s="18" t="s">
        <v>600</v>
      </c>
      <c r="C8" s="41">
        <f>GETPIVOTDATA("Sum of Cost Price (closing balance)",'FAR Pivot'!$A$3,"Asset Category","Movable assets","Asset Sub Category","LEASEHOLD IMPROVEMENTS","Sub class Item","Other Assets")</f>
        <v>4729676.1274999995</v>
      </c>
      <c r="D8" s="42">
        <f>GETPIVOTDATA("Sum of Accumulated depreciation (Closing balance)",'FAR Pivot'!$A$3,"Asset Category","Movable assets","Asset Sub Category","LEASEHOLD IMPROVEMENTS","Sub class Item","Other Assets")</f>
        <v>-1731191.0428328766</v>
      </c>
      <c r="E8" s="44">
        <f t="shared" si="0"/>
        <v>2998485.0846671229</v>
      </c>
      <c r="F8" s="43"/>
      <c r="G8" s="41">
        <f>GETPIVOTDATA("Sum of Cost Price (opening balance)",'FAR Pivot'!$A$3,"Asset Category","Movable assets","Asset Sub Category","LEASEHOLD IMPROVEMENTS","Sub class Item","Other Assets")</f>
        <v>4729676.1274999995</v>
      </c>
      <c r="H8" s="42">
        <f>GETPIVOTDATA("Sum of Accumulated depreciation (Opening balance)",'FAR Pivot'!$A$3,"Asset Category","Movable assets","Asset Sub Category","LEASEHOLD IMPROVEMENTS","Sub class Item","Other Assets")</f>
        <v>-785255.81733287673</v>
      </c>
      <c r="I8" s="44">
        <f t="shared" si="1"/>
        <v>3944420.3101671226</v>
      </c>
      <c r="K8" s="26"/>
    </row>
    <row r="9" spans="1:12">
      <c r="A9" s="20"/>
      <c r="B9" s="18" t="s">
        <v>623</v>
      </c>
      <c r="C9" s="41">
        <f>GETPIVOTDATA("Sum of Cost Price (closing balance)",'FAR Pivot'!$A$3,"Asset Category","Movable assets","Asset Sub Category","OFFICE EQUIPMENT AND TOOLS","Sub class Item","Other Assets")</f>
        <v>632812.09</v>
      </c>
      <c r="D9" s="42">
        <f>GETPIVOTDATA("Sum of Accumulated depreciation (Closing balance)",'FAR Pivot'!$A$3,"Asset Category","Movable assets","Asset Sub Category","OFFICE EQUIPMENT AND TOOLS","Sub class Item","Other Assets")+GETPIVOTDATA("Sum of Accumulated impairments (Closing balance)",'FAR Pivot'!$A$3,"Asset Category","Movable assets","Asset Sub Category","OFFICE EQUIPMENT AND TOOLS","Sub class Item","Other Assets")-GETPIVOTDATA("Sum of Accumulated impairments (Closing balance)",'FAR Pivot'!$A$3,"Asset Category","Movable assets","Asset Sub Category","OFFICE EQUIPMENT AND TOOLS","Sub class Item","Other Assets")</f>
        <v>-435767.42898138851</v>
      </c>
      <c r="E9" s="44">
        <f t="shared" si="0"/>
        <v>197044.66101861146</v>
      </c>
      <c r="F9" s="43"/>
      <c r="G9" s="41">
        <f>GETPIVOTDATA("Sum of Cost Price (opening balance)",'FAR Pivot'!$A$3,"Asset Category","Movable assets","Asset Sub Category","OFFICE EQUIPMENT AND TOOLS","Sub class Item","Other Assets")</f>
        <v>632812.09</v>
      </c>
      <c r="H9" s="42">
        <f>GETPIVOTDATA("Sum of Accumulated depreciation (Opening balance)",'FAR Pivot'!$A$3,"Asset Category","Movable assets","Asset Sub Category","OFFICE EQUIPMENT AND TOOLS","Sub class Item","Other Assets")</f>
        <v>-364735.18872078921</v>
      </c>
      <c r="I9" s="44">
        <f>G9+H9</f>
        <v>268076.90127921075</v>
      </c>
    </row>
    <row r="10" spans="1:12" ht="15" thickBot="1">
      <c r="C10" s="22">
        <f>SUM(C5:C9)</f>
        <v>15324111.327384584</v>
      </c>
      <c r="D10" s="22">
        <f>SUM(D5:D9)</f>
        <v>-7641484.6385460272</v>
      </c>
      <c r="E10" s="22">
        <f>SUM(E5:E9)</f>
        <v>7682626.6888385573</v>
      </c>
      <c r="F10" s="23"/>
      <c r="G10" s="22">
        <f>SUM(G4:G9)</f>
        <v>15313382.977384584</v>
      </c>
      <c r="H10" s="22">
        <f>SUM(H4:H9)</f>
        <v>-5149694.7784689423</v>
      </c>
      <c r="I10" s="22">
        <f>SUM(I4:I9)</f>
        <v>10163688.198915642</v>
      </c>
    </row>
    <row r="11" spans="1:12">
      <c r="C11" s="23">
        <v>0</v>
      </c>
      <c r="D11" s="23"/>
      <c r="E11" s="23">
        <f>E10-J20</f>
        <v>0</v>
      </c>
      <c r="F11" s="24"/>
      <c r="G11" s="23"/>
      <c r="H11" s="23"/>
      <c r="I11" s="25">
        <f>I10-C20</f>
        <v>0</v>
      </c>
      <c r="K11" s="26"/>
      <c r="L11" s="26"/>
    </row>
    <row r="12" spans="1:12">
      <c r="A12" s="17" t="s">
        <v>1180</v>
      </c>
    </row>
    <row r="14" spans="1:12">
      <c r="C14" s="7" t="s">
        <v>97</v>
      </c>
      <c r="D14" s="7" t="s">
        <v>71</v>
      </c>
      <c r="E14" s="7" t="s">
        <v>67</v>
      </c>
      <c r="F14" s="7" t="s">
        <v>69</v>
      </c>
      <c r="G14" s="7" t="s">
        <v>70</v>
      </c>
      <c r="H14" s="7" t="s">
        <v>68</v>
      </c>
      <c r="I14" s="7" t="s">
        <v>98</v>
      </c>
      <c r="J14" s="7" t="s">
        <v>75</v>
      </c>
    </row>
    <row r="15" spans="1:12">
      <c r="B15" s="18" t="s">
        <v>128</v>
      </c>
      <c r="C15" s="44">
        <f>GETPIVOTDATA("Sum of Cost Price (opening balance)",'FAR Pivot'!$A$3,"Asset Category","Movable assets","Asset Sub Category","FURNITURE AND FITTINGS","Sub class Item","Other Assets")+GETPIVOTDATA("Sum of Accumulated depreciation (Opening balance)",'FAR Pivot'!$A$3,"Asset Category","Movable assets","Asset Sub Category","FURNITURE AND FITTINGS","Sub class Item","Other Assets")</f>
        <v>192573.71591796074</v>
      </c>
      <c r="D15" s="46">
        <f>GETPIVOTDATA("Sum of Additions capitalised (@actual cost)",'FAR Pivot'!$A$3,"Asset Category","Movable assets","Asset Sub Category","FURNITURE AND FITTINGS","Sub class Item","Other Assets")</f>
        <v>0</v>
      </c>
      <c r="E15" s="46">
        <f>GETPIVOTDATA("Sum of Derecognitions [-]",'FAR Pivot'!$A$3,"Asset Category","Movable assets","Asset Sub Category","FURNITURE AND FITTINGS","Sub class Item","Other Assets")+GETPIVOTDATA("Sum of Derecognitions (acc dep) [+]",'FAR Pivot'!$A$3,"Asset Category","Movable assets","Asset Sub Category","FURNITURE AND FITTINGS","Sub class Item","Other Assets")</f>
        <v>0</v>
      </c>
      <c r="F15" s="46">
        <v>0</v>
      </c>
      <c r="G15" s="46">
        <v>0</v>
      </c>
      <c r="H15" s="45">
        <f>GETPIVOTDATA("Sum of Depreciation YTD",'FAR Pivot'!$A$3,"Asset Category","Movable assets","Asset Sub Category","FURNITURE AND FITTINGS","Sub class Item","Other Assets")</f>
        <v>-99239.559504252044</v>
      </c>
      <c r="I15" s="46">
        <v>0</v>
      </c>
      <c r="J15" s="44">
        <f>C15+D15+H15+E15</f>
        <v>93334.156413708697</v>
      </c>
      <c r="K15" s="26">
        <f>E5-J15</f>
        <v>-4.5401975512504578E-9</v>
      </c>
    </row>
    <row r="16" spans="1:12">
      <c r="B16" s="18" t="s">
        <v>103</v>
      </c>
      <c r="C16" s="44">
        <f>GETPIVOTDATA("Sum of Cost Price (opening balance)",'FAR Pivot'!$A$3,"Asset Category","Movable assets","Asset Sub Category","COMPUTER EQUIPMENT","Sub class Item","Other Assets")+GETPIVOTDATA("Sum of Accumulated depreciation (Opening balance)",'FAR Pivot'!$A$3,"Asset Category","Movable assets","Asset Sub Category","COMPUTER EQUIPMENT","Sub class Item","Other Assets")</f>
        <v>5628617.2715513464</v>
      </c>
      <c r="D16" s="47">
        <f>GETPIVOTDATA("Sum of Additions capitalised (@actual cost)",'FAR Pivot'!$A$3,"Asset Category","Movable assets","Asset Sub Category","COMPUTER EQUIPMENT","Sub class Item","Other Assets")</f>
        <v>10728.35</v>
      </c>
      <c r="E16" s="46">
        <f>GETPIVOTDATA("Sum of Derecognitions [-]",'FAR Pivot'!$A$3,"Asset Category","Movable assets","Asset Sub Category","COMPUTER EQUIPMENT","Sub class Item","Other Assets")+GETPIVOTDATA("Sum of Derecognitions (acc dep) [+]",'FAR Pivot'!$A$3,"Asset Category","Movable assets","Asset Sub Category","COMPUTER EQUIPMENT","Sub class Item","Other Assets")</f>
        <v>0</v>
      </c>
      <c r="F16" s="46">
        <v>0</v>
      </c>
      <c r="G16" s="46">
        <v>0</v>
      </c>
      <c r="H16" s="45">
        <f>GETPIVOTDATA("Sum of Depreciation YTD",'FAR Pivot'!$A$3,"Asset Category","Movable assets","Asset Sub Category","COMPUTER EQUIPMENT","Sub class Item","Other Assets")</f>
        <v>-1306109.9211958311</v>
      </c>
      <c r="I16" s="46">
        <f>GETPIVOTDATA("Sum of Annual impairment",'FAR Pivot'!$A$3,"Asset Category","Movable assets","Asset Sub Category","COMPUTER EQUIPMENT","Sub class Item","Other Assets")</f>
        <v>0</v>
      </c>
      <c r="J16" s="44">
        <f>C16+D16+H16+E16+I16</f>
        <v>4333235.7003555149</v>
      </c>
      <c r="K16" s="26">
        <f>E6-J16</f>
        <v>0</v>
      </c>
    </row>
    <row r="17" spans="1:12">
      <c r="B17" s="18" t="s">
        <v>105</v>
      </c>
      <c r="C17" s="44">
        <f>GETPIVOTDATA("Sum of Cost Price (opening balance)",'FAR Pivot'!$A$3,"Asset Category","Movable assets","Asset Sub Category","MOTOR VEHICLES","Sub class Item","Other Assets")+GETPIVOTDATA("Sum of Accumulated depreciation (Opening balance)",'FAR Pivot'!$A$3,"Asset Category","Movable assets","Asset Sub Category","MOTOR VEHICLES","Sub class Item","Other Assets")</f>
        <v>130000</v>
      </c>
      <c r="D17" s="47">
        <v>0</v>
      </c>
      <c r="E17" s="46">
        <v>0</v>
      </c>
      <c r="F17" s="46">
        <v>0</v>
      </c>
      <c r="G17" s="46">
        <f>GETPIVOTDATA("Sum of Revaluation Adjustment Cost",'FAR Pivot'!$A$3,"Asset Category","Movable assets","Asset Sub Category","MOTOR VEHICLES","Sub class Item","Other Assets")</f>
        <v>0</v>
      </c>
      <c r="H17" s="45">
        <f>GETPIVOTDATA("Sum of Depreciation YTD",'FAR Pivot'!$A$3,"Asset Category","Movable assets","Asset Sub Category","MOTOR VEHICLES","Sub class Item","Other Assets")</f>
        <v>-69472.913616398248</v>
      </c>
      <c r="I17" s="46">
        <v>0</v>
      </c>
      <c r="J17" s="44">
        <f>C17+D17+H17+G17</f>
        <v>60527.086383601752</v>
      </c>
      <c r="K17" s="26">
        <f>E7-J17</f>
        <v>0</v>
      </c>
    </row>
    <row r="18" spans="1:12">
      <c r="B18" s="18" t="s">
        <v>600</v>
      </c>
      <c r="C18" s="44">
        <f>GETPIVOTDATA("Sum of Cost Price (opening balance)",'FAR Pivot'!$A$3,"Asset Category","Movable assets","Asset Sub Category","LEASEHOLD IMPROVEMENTS","Sub class Item","Other Assets")+GETPIVOTDATA("Sum of Accumulated depreciation (Opening balance)",'FAR Pivot'!$A$3,"Asset Category","Movable assets","Asset Sub Category","LEASEHOLD IMPROVEMENTS","Sub class Item","Other Assets")</f>
        <v>3944420.3101671226</v>
      </c>
      <c r="D18" s="47">
        <f>GETPIVOTDATA("Sum of Additions capitalised (@actual cost)",'FAR Pivot'!$A$3,"Asset Category","Movable assets","Asset Sub Category","LEASEHOLD IMPROVEMENTS","Sub class Item","Other Assets")</f>
        <v>0</v>
      </c>
      <c r="E18" s="46">
        <v>0</v>
      </c>
      <c r="F18" s="46">
        <v>0</v>
      </c>
      <c r="G18" s="46">
        <v>0</v>
      </c>
      <c r="H18" s="45">
        <f>GETPIVOTDATA("Sum of Depreciation YTD",'FAR Pivot'!$A$3,"Asset Category","Movable assets","Asset Sub Category","LEASEHOLD IMPROVEMENTS","Sub class Item","Other Assets")</f>
        <v>-945935.22549999983</v>
      </c>
      <c r="I18" s="46">
        <v>0</v>
      </c>
      <c r="J18" s="44">
        <f t="shared" ref="J18" si="2">C18+D18+H18</f>
        <v>2998485.0846671229</v>
      </c>
      <c r="K18" s="26">
        <f>E8-J18</f>
        <v>0</v>
      </c>
    </row>
    <row r="19" spans="1:12">
      <c r="B19" s="18" t="s">
        <v>623</v>
      </c>
      <c r="C19" s="44">
        <f>GETPIVOTDATA("Sum of Cost Price (opening balance)",'FAR Pivot'!$A$3,"Asset Category","Movable assets","Asset Sub Category","OFFICE EQUIPMENT AND TOOLS","Sub class Item","Other Assets")+GETPIVOTDATA("Sum of Accumulated depreciation (Opening balance)",'FAR Pivot'!$A$3,"Asset Category","Movable assets","Asset Sub Category","OFFICE EQUIPMENT AND TOOLS","Sub class Item","Other Assets")</f>
        <v>268076.90127921075</v>
      </c>
      <c r="D19" s="47">
        <f>GETPIVOTDATA("Sum of Additions capitalised (@actual cost)",'FAR Pivot'!$A$3,"Asset Category","Movable assets","Asset Sub Category","OFFICE EQUIPMENT AND TOOLS","Sub class Item","Other Assets")</f>
        <v>0</v>
      </c>
      <c r="E19" s="46">
        <f>GETPIVOTDATA("Sum of Derecognitions [-]",'FAR Pivot'!$A$3,"Asset Category","Movable assets","Asset Sub Category","OFFICE EQUIPMENT AND TOOLS","Sub class Item","Other Assets")+GETPIVOTDATA("Sum of Derecognitions (acc dep) [+]",'FAR Pivot'!$A$3,"Asset Category","Movable assets","Asset Sub Category","OFFICE EQUIPMENT AND TOOLS","Sub class Item","Other Assets")</f>
        <v>0</v>
      </c>
      <c r="F19" s="46">
        <v>0</v>
      </c>
      <c r="G19" s="46">
        <v>0</v>
      </c>
      <c r="H19" s="45">
        <f>GETPIVOTDATA("Sum of Depreciation YTD",'FAR Pivot'!$A$3,"Asset Category","Movable assets","Asset Sub Category","OFFICE EQUIPMENT AND TOOLS","Sub class Item","Other Assets")</f>
        <v>-71032.240260599283</v>
      </c>
      <c r="I19" s="46">
        <f>GETPIVOTDATA("Sum of Annual impairment",'FAR Pivot'!$A$3,"Asset Category","Movable assets","Asset Sub Category","OFFICE EQUIPMENT AND TOOLS","Sub class Item","Other Assets")</f>
        <v>0</v>
      </c>
      <c r="J19" s="44">
        <f>C19+D19+H19+E19+I19</f>
        <v>197044.66101861146</v>
      </c>
      <c r="K19" s="26">
        <f>E9-J19</f>
        <v>0</v>
      </c>
    </row>
    <row r="20" spans="1:12" ht="15" thickBot="1">
      <c r="C20" s="22">
        <f>SUM(C15:C19)</f>
        <v>10163688.198915642</v>
      </c>
      <c r="D20" s="22">
        <f>SUM(D15:D19)</f>
        <v>10728.35</v>
      </c>
      <c r="E20" s="22">
        <f>SUM(E15:E19)</f>
        <v>0</v>
      </c>
      <c r="F20" s="22">
        <v>0</v>
      </c>
      <c r="G20" s="22">
        <v>0</v>
      </c>
      <c r="H20" s="22">
        <f>SUM(H15:H19)</f>
        <v>-2491789.8600770803</v>
      </c>
      <c r="I20" s="22">
        <v>0</v>
      </c>
      <c r="J20" s="22">
        <f>SUM(J15:J19)</f>
        <v>7682626.6888385601</v>
      </c>
      <c r="L20" s="21"/>
    </row>
    <row r="21" spans="1:12">
      <c r="J21" s="27"/>
      <c r="K21" s="26"/>
    </row>
    <row r="22" spans="1:12">
      <c r="A22" s="214" t="s">
        <v>174</v>
      </c>
      <c r="B22" s="215"/>
      <c r="C22" s="215"/>
      <c r="D22" s="215"/>
      <c r="E22" s="215"/>
      <c r="F22" s="215"/>
      <c r="G22" s="215"/>
      <c r="H22" s="216"/>
      <c r="I22" s="215"/>
      <c r="J22" s="215"/>
      <c r="K22" s="215"/>
      <c r="L22" s="215"/>
    </row>
    <row r="23" spans="1:12">
      <c r="A23" s="215"/>
      <c r="B23" s="215"/>
      <c r="C23" s="215"/>
      <c r="D23" s="215"/>
      <c r="E23" s="215"/>
      <c r="F23" s="215"/>
      <c r="G23" s="215"/>
      <c r="H23" s="215"/>
      <c r="I23" s="215"/>
      <c r="J23" s="215"/>
      <c r="K23" s="215"/>
      <c r="L23" s="215"/>
    </row>
    <row r="24" spans="1:12">
      <c r="A24" s="215"/>
      <c r="B24" s="215"/>
      <c r="C24" s="217" t="s">
        <v>97</v>
      </c>
      <c r="D24" s="217" t="s">
        <v>71</v>
      </c>
      <c r="E24" s="217" t="s">
        <v>67</v>
      </c>
      <c r="F24" s="217" t="s">
        <v>69</v>
      </c>
      <c r="G24" s="217" t="s">
        <v>70</v>
      </c>
      <c r="H24" s="217" t="s">
        <v>68</v>
      </c>
      <c r="I24" s="217" t="s">
        <v>98</v>
      </c>
      <c r="J24" s="217" t="s">
        <v>75</v>
      </c>
      <c r="K24" s="217"/>
      <c r="L24" s="215"/>
    </row>
    <row r="25" spans="1:12">
      <c r="A25" s="215"/>
      <c r="B25" s="215" t="s">
        <v>128</v>
      </c>
      <c r="C25" s="218">
        <v>766749.90999999992</v>
      </c>
      <c r="D25" s="219">
        <v>0</v>
      </c>
      <c r="E25" s="220">
        <v>-1638.070000000007</v>
      </c>
      <c r="F25" s="219">
        <v>0</v>
      </c>
      <c r="G25" s="219">
        <v>0</v>
      </c>
      <c r="H25" s="219">
        <v>-260754.35358099797</v>
      </c>
      <c r="I25" s="221">
        <v>0</v>
      </c>
      <c r="J25" s="219">
        <v>504357.48641900194</v>
      </c>
      <c r="K25" s="222"/>
      <c r="L25" s="215"/>
    </row>
    <row r="26" spans="1:12">
      <c r="A26" s="215"/>
      <c r="B26" s="215" t="s">
        <v>103</v>
      </c>
      <c r="C26" s="218">
        <v>1067715.2650000022</v>
      </c>
      <c r="D26" s="219">
        <v>626049.41</v>
      </c>
      <c r="E26" s="220">
        <v>-9864.7299999993993</v>
      </c>
      <c r="F26" s="219">
        <v>0</v>
      </c>
      <c r="G26" s="219">
        <v>0</v>
      </c>
      <c r="H26" s="219">
        <v>-648124.88074406027</v>
      </c>
      <c r="I26" s="221">
        <v>0</v>
      </c>
      <c r="J26" s="219">
        <v>1035775.0642559425</v>
      </c>
      <c r="K26" s="222"/>
      <c r="L26" s="215"/>
    </row>
    <row r="27" spans="1:12">
      <c r="A27" s="215"/>
      <c r="B27" s="215" t="s">
        <v>105</v>
      </c>
      <c r="C27" s="218">
        <v>72963.050000000047</v>
      </c>
      <c r="D27" s="219">
        <v>0</v>
      </c>
      <c r="E27" s="220">
        <v>0</v>
      </c>
      <c r="F27" s="219">
        <v>0</v>
      </c>
      <c r="G27" s="219">
        <v>0</v>
      </c>
      <c r="H27" s="219">
        <v>-38991.966691068847</v>
      </c>
      <c r="I27" s="221">
        <v>0</v>
      </c>
      <c r="J27" s="219">
        <v>33971.0833089312</v>
      </c>
      <c r="K27" s="222"/>
      <c r="L27" s="215"/>
    </row>
    <row r="28" spans="1:12">
      <c r="A28" s="215"/>
      <c r="B28" s="215" t="s">
        <v>600</v>
      </c>
      <c r="C28" s="218">
        <v>1066574.7899999996</v>
      </c>
      <c r="D28" s="219">
        <v>0</v>
      </c>
      <c r="E28" s="219">
        <v>0</v>
      </c>
      <c r="F28" s="219">
        <v>0</v>
      </c>
      <c r="G28" s="219">
        <v>0</v>
      </c>
      <c r="H28" s="219">
        <v>-324278.04994804569</v>
      </c>
      <c r="I28" s="221">
        <v>0</v>
      </c>
      <c r="J28" s="219">
        <v>742296.74005195382</v>
      </c>
      <c r="K28" s="222"/>
      <c r="L28" s="215"/>
    </row>
    <row r="29" spans="1:12">
      <c r="A29" s="215"/>
      <c r="B29" s="215" t="s">
        <v>623</v>
      </c>
      <c r="C29" s="218">
        <v>214975.00499999983</v>
      </c>
      <c r="D29" s="219">
        <v>19997.5</v>
      </c>
      <c r="E29" s="219">
        <v>-19822.26999999996</v>
      </c>
      <c r="F29" s="219">
        <v>0</v>
      </c>
      <c r="G29" s="219">
        <v>0</v>
      </c>
      <c r="H29" s="219">
        <v>-67834.007968316568</v>
      </c>
      <c r="I29" s="221">
        <v>0</v>
      </c>
      <c r="J29" s="219">
        <v>147316.22703168332</v>
      </c>
      <c r="K29" s="222"/>
      <c r="L29" s="215"/>
    </row>
    <row r="30" spans="1:12">
      <c r="A30" s="215"/>
      <c r="B30" s="215" t="s">
        <v>771</v>
      </c>
      <c r="C30" s="218">
        <v>84924.859999999986</v>
      </c>
      <c r="D30" s="219">
        <v>29980</v>
      </c>
      <c r="E30" s="219">
        <v>-114904.85999999999</v>
      </c>
      <c r="F30" s="219">
        <v>0</v>
      </c>
      <c r="G30" s="219">
        <v>0</v>
      </c>
      <c r="H30" s="219">
        <v>0</v>
      </c>
      <c r="I30" s="221">
        <v>0</v>
      </c>
      <c r="J30" s="219">
        <v>0</v>
      </c>
      <c r="K30" s="222"/>
      <c r="L30" s="215"/>
    </row>
    <row r="31" spans="1:12" ht="15" thickBot="1">
      <c r="A31" s="215"/>
      <c r="B31" s="215"/>
      <c r="C31" s="223">
        <v>3273902.8800000013</v>
      </c>
      <c r="D31" s="224">
        <v>676026.91</v>
      </c>
      <c r="E31" s="224">
        <v>-146229.92999999935</v>
      </c>
      <c r="F31" s="224">
        <v>0</v>
      </c>
      <c r="G31" s="224">
        <v>0</v>
      </c>
      <c r="H31" s="224">
        <v>-1339983.2589324894</v>
      </c>
      <c r="I31" s="225">
        <v>0</v>
      </c>
      <c r="J31" s="224">
        <v>2463716.6010675132</v>
      </c>
      <c r="K31" s="222"/>
      <c r="L31" s="215"/>
    </row>
    <row r="32" spans="1:12">
      <c r="A32" s="273"/>
      <c r="B32" s="273"/>
      <c r="C32" s="273"/>
      <c r="D32" s="273"/>
      <c r="E32" s="273"/>
      <c r="F32" s="273"/>
      <c r="G32" s="273"/>
      <c r="H32" s="273"/>
      <c r="I32" s="273"/>
      <c r="J32" s="273"/>
      <c r="K32" s="273"/>
      <c r="L32" s="273"/>
    </row>
    <row r="33" spans="1:12">
      <c r="A33" s="273"/>
      <c r="B33" s="273"/>
      <c r="C33" s="273"/>
      <c r="D33" s="273"/>
      <c r="E33" s="273"/>
      <c r="F33" s="273"/>
      <c r="G33" s="273"/>
      <c r="H33" s="273"/>
      <c r="I33" s="273"/>
      <c r="J33" s="273"/>
      <c r="K33" s="273"/>
      <c r="L33" s="273"/>
    </row>
    <row r="35" spans="1:12">
      <c r="A35" s="17" t="s">
        <v>149</v>
      </c>
    </row>
    <row r="36" spans="1:12" ht="29">
      <c r="C36" s="7" t="s">
        <v>150</v>
      </c>
      <c r="D36" s="43" t="s">
        <v>151</v>
      </c>
      <c r="E36" s="43" t="s">
        <v>152</v>
      </c>
    </row>
    <row r="37" spans="1:12">
      <c r="C37" s="21"/>
      <c r="D37" s="21"/>
      <c r="E37" s="21"/>
    </row>
    <row r="38" spans="1:12">
      <c r="C38" s="21"/>
      <c r="D38" s="21"/>
      <c r="E38" s="21"/>
    </row>
    <row r="39" spans="1:12" ht="15" thickBot="1">
      <c r="B39" s="17" t="s">
        <v>75</v>
      </c>
      <c r="C39" s="129">
        <f>SUM(C37:C38)</f>
        <v>0</v>
      </c>
      <c r="D39" s="129">
        <f>SUM(D37:D38)</f>
        <v>0</v>
      </c>
      <c r="E39" s="129">
        <f>SUM(E37:E38)</f>
        <v>0</v>
      </c>
    </row>
    <row r="40" spans="1:12" ht="15" thickTop="1">
      <c r="E40" s="26"/>
    </row>
  </sheetData>
  <mergeCells count="1">
    <mergeCell ref="A32:L3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3A1B3-A0B3-4756-8150-3D5AB140B97F}">
  <sheetPr>
    <tabColor rgb="FF00B050"/>
  </sheetPr>
  <dimension ref="A1:CE359"/>
  <sheetViews>
    <sheetView topLeftCell="CA1" workbookViewId="0">
      <selection activeCell="CH17" sqref="CH17"/>
    </sheetView>
  </sheetViews>
  <sheetFormatPr defaultRowHeight="14.5"/>
  <cols>
    <col min="1" max="1" width="24.08984375" bestFit="1" customWidth="1"/>
    <col min="2" max="2" width="24.26953125" bestFit="1" customWidth="1"/>
    <col min="3" max="3" width="8.81640625" bestFit="1" customWidth="1"/>
    <col min="4" max="4" width="25.7265625" bestFit="1" customWidth="1"/>
    <col min="5" max="5" width="8.81640625" bestFit="1" customWidth="1"/>
    <col min="6" max="6" width="23.08984375" bestFit="1" customWidth="1"/>
    <col min="7" max="7" width="8.81640625" bestFit="1" customWidth="1"/>
    <col min="8" max="8" width="26.7265625" bestFit="1" customWidth="1"/>
    <col min="9" max="9" width="8.81640625" bestFit="1" customWidth="1"/>
    <col min="10" max="10" width="20.90625" bestFit="1" customWidth="1"/>
    <col min="11" max="11" width="28.7265625" bestFit="1" customWidth="1"/>
    <col min="12" max="12" width="11.7265625" bestFit="1" customWidth="1"/>
    <col min="13" max="13" width="8.81640625" bestFit="1" customWidth="1"/>
    <col min="14" max="14" width="75.36328125" bestFit="1" customWidth="1"/>
    <col min="15" max="15" width="8.81640625" bestFit="1" customWidth="1"/>
    <col min="16" max="16" width="25.6328125" bestFit="1" customWidth="1"/>
    <col min="17" max="17" width="75.36328125" bestFit="1" customWidth="1"/>
    <col min="18" max="18" width="25" bestFit="1" customWidth="1"/>
    <col min="19" max="19" width="12.1796875" bestFit="1" customWidth="1"/>
    <col min="20" max="20" width="20.6328125" bestFit="1" customWidth="1"/>
    <col min="21" max="21" width="14.90625" bestFit="1" customWidth="1"/>
    <col min="22" max="22" width="41.81640625" bestFit="1" customWidth="1"/>
    <col min="23" max="23" width="36.26953125" bestFit="1" customWidth="1"/>
    <col min="24" max="24" width="39.1796875" bestFit="1" customWidth="1"/>
    <col min="25" max="25" width="8.81640625" bestFit="1" customWidth="1"/>
    <col min="26" max="26" width="15.26953125" bestFit="1" customWidth="1"/>
    <col min="27" max="27" width="25.1796875" bestFit="1" customWidth="1"/>
    <col min="28" max="28" width="9.7265625" bestFit="1" customWidth="1"/>
    <col min="29" max="29" width="16.1796875" bestFit="1" customWidth="1"/>
    <col min="30" max="30" width="15.6328125" bestFit="1" customWidth="1"/>
    <col min="31" max="31" width="32.7265625" bestFit="1" customWidth="1"/>
    <col min="32" max="32" width="8.81640625" bestFit="1" customWidth="1"/>
    <col min="33" max="33" width="12" bestFit="1" customWidth="1"/>
    <col min="34" max="34" width="15.36328125" bestFit="1" customWidth="1"/>
    <col min="35" max="35" width="36.08984375" bestFit="1" customWidth="1"/>
    <col min="36" max="36" width="21.26953125" bestFit="1" customWidth="1"/>
    <col min="37" max="37" width="21.36328125" bestFit="1" customWidth="1"/>
    <col min="38" max="38" width="13.7265625" bestFit="1" customWidth="1"/>
    <col min="39" max="39" width="16.7265625" bestFit="1" customWidth="1"/>
    <col min="40" max="40" width="25.1796875" bestFit="1" customWidth="1"/>
    <col min="41" max="41" width="22.6328125" bestFit="1" customWidth="1"/>
    <col min="42" max="42" width="21.81640625" bestFit="1" customWidth="1"/>
    <col min="43" max="43" width="11.26953125" bestFit="1" customWidth="1"/>
    <col min="44" max="44" width="18.36328125" bestFit="1" customWidth="1"/>
    <col min="45" max="45" width="27" bestFit="1" customWidth="1"/>
    <col min="46" max="46" width="33.453125" bestFit="1" customWidth="1"/>
    <col min="47" max="47" width="27.90625" bestFit="1" customWidth="1"/>
    <col min="48" max="48" width="18.08984375" bestFit="1" customWidth="1"/>
    <col min="49" max="49" width="19.7265625" bestFit="1" customWidth="1"/>
    <col min="50" max="50" width="25.90625" bestFit="1" customWidth="1"/>
    <col min="51" max="51" width="30.6328125" bestFit="1" customWidth="1"/>
    <col min="52" max="52" width="18.26953125" bestFit="1" customWidth="1"/>
    <col min="53" max="53" width="29.54296875" bestFit="1" customWidth="1"/>
    <col min="54" max="54" width="21" bestFit="1" customWidth="1"/>
    <col min="55" max="55" width="41.26953125" bestFit="1" customWidth="1"/>
    <col min="56" max="56" width="54.1796875" bestFit="1" customWidth="1"/>
    <col min="57" max="57" width="26.54296875" bestFit="1" customWidth="1"/>
    <col min="58" max="58" width="17" bestFit="1" customWidth="1"/>
    <col min="59" max="59" width="23.54296875" bestFit="1" customWidth="1"/>
    <col min="60" max="60" width="17.6328125" bestFit="1" customWidth="1"/>
    <col min="61" max="61" width="21.36328125" bestFit="1" customWidth="1"/>
    <col min="62" max="62" width="25.36328125" bestFit="1" customWidth="1"/>
    <col min="63" max="63" width="21.1796875" bestFit="1" customWidth="1"/>
    <col min="64" max="64" width="26.6328125" bestFit="1" customWidth="1"/>
    <col min="65" max="65" width="40.1796875" bestFit="1" customWidth="1"/>
    <col min="66" max="66" width="41.36328125" bestFit="1" customWidth="1"/>
    <col min="67" max="67" width="54.81640625" bestFit="1" customWidth="1"/>
    <col min="68" max="68" width="19.453125" bestFit="1" customWidth="1"/>
    <col min="69" max="69" width="35.26953125" bestFit="1" customWidth="1"/>
    <col min="70" max="70" width="40.26953125" bestFit="1" customWidth="1"/>
    <col min="71" max="71" width="29.54296875" bestFit="1" customWidth="1"/>
    <col min="72" max="72" width="20.54296875" bestFit="1" customWidth="1"/>
    <col min="73" max="73" width="50.54296875" bestFit="1" customWidth="1"/>
    <col min="74" max="74" width="55.54296875" bestFit="1" customWidth="1"/>
    <col min="75" max="75" width="17.81640625" bestFit="1" customWidth="1"/>
    <col min="76" max="76" width="13.90625" bestFit="1" customWidth="1"/>
    <col min="77" max="77" width="14.7265625" bestFit="1" customWidth="1"/>
    <col min="78" max="78" width="34.54296875" bestFit="1" customWidth="1"/>
    <col min="79" max="81" width="8.81640625" bestFit="1" customWidth="1"/>
    <col min="82" max="82" width="11.26953125" bestFit="1" customWidth="1"/>
    <col min="83" max="83" width="10.54296875" bestFit="1" customWidth="1"/>
  </cols>
  <sheetData>
    <row r="1" spans="1:83">
      <c r="A1" s="49" t="s">
        <v>1183</v>
      </c>
    </row>
    <row r="3" spans="1:83">
      <c r="A3" t="s">
        <v>118</v>
      </c>
      <c r="B3" t="s">
        <v>153</v>
      </c>
      <c r="C3" t="s">
        <v>6</v>
      </c>
      <c r="D3" t="s">
        <v>7</v>
      </c>
      <c r="E3" t="s">
        <v>8</v>
      </c>
      <c r="F3" t="s">
        <v>49</v>
      </c>
      <c r="G3" t="s">
        <v>9</v>
      </c>
      <c r="H3" t="s">
        <v>50</v>
      </c>
      <c r="I3" t="s">
        <v>52</v>
      </c>
      <c r="J3" t="s">
        <v>51</v>
      </c>
      <c r="K3" t="s">
        <v>10</v>
      </c>
      <c r="L3" t="s">
        <v>155</v>
      </c>
      <c r="M3" t="s">
        <v>53</v>
      </c>
      <c r="N3" t="s">
        <v>12</v>
      </c>
      <c r="O3" t="s">
        <v>11</v>
      </c>
      <c r="P3" t="s">
        <v>13</v>
      </c>
      <c r="Q3" t="s">
        <v>14</v>
      </c>
      <c r="R3" t="s">
        <v>15</v>
      </c>
      <c r="S3" t="s">
        <v>16</v>
      </c>
      <c r="T3" t="s">
        <v>17</v>
      </c>
      <c r="U3" t="s">
        <v>18</v>
      </c>
      <c r="V3" t="s">
        <v>19</v>
      </c>
      <c r="W3" t="s">
        <v>20</v>
      </c>
      <c r="X3" t="s">
        <v>92</v>
      </c>
      <c r="Y3" t="s">
        <v>21</v>
      </c>
      <c r="Z3" t="s">
        <v>157</v>
      </c>
      <c r="AA3" t="s">
        <v>55</v>
      </c>
      <c r="AB3" t="s">
        <v>22</v>
      </c>
      <c r="AC3" t="s">
        <v>23</v>
      </c>
      <c r="AD3" t="s">
        <v>131</v>
      </c>
      <c r="AE3" t="s">
        <v>56</v>
      </c>
      <c r="AF3" t="s">
        <v>24</v>
      </c>
      <c r="AG3" t="s">
        <v>172</v>
      </c>
      <c r="AH3" t="s">
        <v>171</v>
      </c>
      <c r="AI3" t="s">
        <v>25</v>
      </c>
      <c r="AJ3" t="s">
        <v>158</v>
      </c>
      <c r="AK3" t="s">
        <v>159</v>
      </c>
      <c r="AL3" t="s">
        <v>161</v>
      </c>
      <c r="AM3" t="s">
        <v>162</v>
      </c>
      <c r="AN3" t="s">
        <v>1179</v>
      </c>
      <c r="AO3" t="s">
        <v>1178</v>
      </c>
      <c r="AP3" t="s">
        <v>166</v>
      </c>
      <c r="AQ3" t="s">
        <v>165</v>
      </c>
      <c r="AR3" t="s">
        <v>26</v>
      </c>
      <c r="AS3" t="s">
        <v>59</v>
      </c>
      <c r="AT3" t="s">
        <v>27</v>
      </c>
      <c r="AU3" t="s">
        <v>28</v>
      </c>
      <c r="AV3" t="s">
        <v>29</v>
      </c>
      <c r="AW3" t="s">
        <v>30</v>
      </c>
      <c r="AX3" t="s">
        <v>57</v>
      </c>
      <c r="AY3" t="s">
        <v>58</v>
      </c>
      <c r="AZ3" t="s">
        <v>31</v>
      </c>
      <c r="BA3" t="s">
        <v>32</v>
      </c>
      <c r="BB3" t="s">
        <v>33</v>
      </c>
      <c r="BC3" t="s">
        <v>34</v>
      </c>
      <c r="BD3" t="s">
        <v>35</v>
      </c>
      <c r="BE3" t="s">
        <v>36</v>
      </c>
      <c r="BF3" t="s">
        <v>37</v>
      </c>
      <c r="BG3" t="s">
        <v>38</v>
      </c>
      <c r="BH3" t="s">
        <v>39</v>
      </c>
      <c r="BI3" t="s">
        <v>1177</v>
      </c>
      <c r="BJ3" t="s">
        <v>40</v>
      </c>
      <c r="BK3" t="s">
        <v>41</v>
      </c>
      <c r="BL3" t="s">
        <v>60</v>
      </c>
      <c r="BM3" t="s">
        <v>61</v>
      </c>
      <c r="BN3" t="s">
        <v>42</v>
      </c>
      <c r="BO3" t="s">
        <v>43</v>
      </c>
      <c r="BP3" t="s">
        <v>44</v>
      </c>
      <c r="BQ3" t="s">
        <v>62</v>
      </c>
      <c r="BR3" t="s">
        <v>63</v>
      </c>
      <c r="BS3" t="s">
        <v>64</v>
      </c>
      <c r="BT3" t="s">
        <v>173</v>
      </c>
      <c r="BU3" t="s">
        <v>45</v>
      </c>
      <c r="BV3" t="s">
        <v>46</v>
      </c>
      <c r="BW3" t="s">
        <v>47</v>
      </c>
      <c r="BX3" t="s">
        <v>48</v>
      </c>
      <c r="BY3" t="s">
        <v>154</v>
      </c>
      <c r="BZ3" t="s">
        <v>148</v>
      </c>
      <c r="CA3" t="s">
        <v>156</v>
      </c>
      <c r="CB3" t="s">
        <v>170</v>
      </c>
      <c r="CC3" t="s">
        <v>169</v>
      </c>
      <c r="CD3" t="s">
        <v>175</v>
      </c>
      <c r="CE3" t="s">
        <v>177</v>
      </c>
    </row>
    <row r="4" spans="1:83">
      <c r="A4" t="s">
        <v>178</v>
      </c>
      <c r="B4" t="s">
        <v>851</v>
      </c>
      <c r="C4" t="s">
        <v>54</v>
      </c>
      <c r="D4" t="s">
        <v>1</v>
      </c>
      <c r="E4" t="s">
        <v>115</v>
      </c>
      <c r="F4" t="s">
        <v>99</v>
      </c>
      <c r="G4" t="s">
        <v>100</v>
      </c>
      <c r="H4" t="s">
        <v>128</v>
      </c>
      <c r="I4" t="s">
        <v>100</v>
      </c>
      <c r="J4" t="s">
        <v>101</v>
      </c>
      <c r="K4" t="s">
        <v>559</v>
      </c>
      <c r="L4" t="s">
        <v>559</v>
      </c>
      <c r="M4" t="s">
        <v>100</v>
      </c>
      <c r="N4" t="s">
        <v>424</v>
      </c>
      <c r="O4" t="s">
        <v>100</v>
      </c>
      <c r="Q4" t="s">
        <v>424</v>
      </c>
      <c r="R4" t="s">
        <v>119</v>
      </c>
      <c r="S4" t="s">
        <v>130</v>
      </c>
      <c r="T4" t="s">
        <v>120</v>
      </c>
      <c r="U4" t="s">
        <v>101</v>
      </c>
      <c r="V4" t="s">
        <v>121</v>
      </c>
      <c r="W4" t="s">
        <v>122</v>
      </c>
      <c r="X4" t="s">
        <v>123</v>
      </c>
      <c r="Y4">
        <v>1</v>
      </c>
      <c r="Z4" t="s">
        <v>560</v>
      </c>
      <c r="AA4" s="280">
        <v>38093</v>
      </c>
      <c r="AB4" t="s">
        <v>114</v>
      </c>
      <c r="AC4" t="s">
        <v>124</v>
      </c>
      <c r="AD4" s="280">
        <v>44651</v>
      </c>
      <c r="AE4" t="s">
        <v>125</v>
      </c>
      <c r="AF4">
        <v>6</v>
      </c>
      <c r="AG4">
        <v>0</v>
      </c>
      <c r="AH4">
        <v>0</v>
      </c>
      <c r="AI4" t="s">
        <v>126</v>
      </c>
      <c r="AL4">
        <v>1</v>
      </c>
      <c r="AN4">
        <v>1</v>
      </c>
      <c r="AO4">
        <v>0</v>
      </c>
      <c r="AP4" t="s">
        <v>1050</v>
      </c>
      <c r="AR4" t="s">
        <v>127</v>
      </c>
      <c r="AS4">
        <v>6384</v>
      </c>
      <c r="AU4">
        <v>0</v>
      </c>
      <c r="AV4">
        <v>0</v>
      </c>
      <c r="AW4">
        <v>0</v>
      </c>
      <c r="AX4">
        <v>6384</v>
      </c>
      <c r="AY4">
        <v>354.66666666666606</v>
      </c>
      <c r="AZ4">
        <v>0</v>
      </c>
      <c r="BC4">
        <v>-6029.3333333333339</v>
      </c>
      <c r="BE4" t="s">
        <v>114</v>
      </c>
      <c r="BH4">
        <v>-354.66666666666606</v>
      </c>
      <c r="BI4">
        <v>-29.555555555555504</v>
      </c>
      <c r="BK4" t="s">
        <v>116</v>
      </c>
      <c r="BL4">
        <v>0</v>
      </c>
      <c r="BM4">
        <v>-6384</v>
      </c>
      <c r="BR4">
        <v>0</v>
      </c>
      <c r="BS4">
        <v>0</v>
      </c>
      <c r="BW4" t="s">
        <v>167</v>
      </c>
      <c r="BX4" t="s">
        <v>168</v>
      </c>
      <c r="BZ4" t="s">
        <v>937</v>
      </c>
    </row>
    <row r="5" spans="1:83">
      <c r="A5" t="s">
        <v>179</v>
      </c>
      <c r="B5" t="s">
        <v>852</v>
      </c>
      <c r="C5" t="s">
        <v>54</v>
      </c>
      <c r="D5" t="s">
        <v>1</v>
      </c>
      <c r="E5" t="s">
        <v>115</v>
      </c>
      <c r="F5" t="s">
        <v>99</v>
      </c>
      <c r="G5" t="s">
        <v>100</v>
      </c>
      <c r="H5" t="s">
        <v>128</v>
      </c>
      <c r="I5" t="s">
        <v>100</v>
      </c>
      <c r="J5" t="s">
        <v>101</v>
      </c>
      <c r="K5" t="s">
        <v>559</v>
      </c>
      <c r="L5" t="s">
        <v>559</v>
      </c>
      <c r="M5" t="s">
        <v>100</v>
      </c>
      <c r="N5" t="s">
        <v>425</v>
      </c>
      <c r="O5" t="s">
        <v>100</v>
      </c>
      <c r="Q5" t="s">
        <v>425</v>
      </c>
      <c r="R5" t="s">
        <v>119</v>
      </c>
      <c r="S5" t="s">
        <v>130</v>
      </c>
      <c r="T5" t="s">
        <v>120</v>
      </c>
      <c r="U5" t="s">
        <v>101</v>
      </c>
      <c r="V5" t="s">
        <v>121</v>
      </c>
      <c r="W5" t="s">
        <v>122</v>
      </c>
      <c r="X5" t="s">
        <v>123</v>
      </c>
      <c r="Y5">
        <v>1</v>
      </c>
      <c r="Z5" t="s">
        <v>560</v>
      </c>
      <c r="AA5" s="280">
        <v>38093</v>
      </c>
      <c r="AB5" t="s">
        <v>114</v>
      </c>
      <c r="AC5" t="s">
        <v>124</v>
      </c>
      <c r="AD5" s="280">
        <v>44651</v>
      </c>
      <c r="AE5" t="s">
        <v>125</v>
      </c>
      <c r="AF5">
        <v>6</v>
      </c>
      <c r="AG5">
        <v>0</v>
      </c>
      <c r="AH5">
        <v>0</v>
      </c>
      <c r="AI5" t="s">
        <v>126</v>
      </c>
      <c r="AL5">
        <v>1</v>
      </c>
      <c r="AN5">
        <v>1</v>
      </c>
      <c r="AO5">
        <v>0</v>
      </c>
      <c r="AP5" t="s">
        <v>1051</v>
      </c>
      <c r="AR5" t="s">
        <v>127</v>
      </c>
      <c r="AS5">
        <v>2394</v>
      </c>
      <c r="AU5">
        <v>0</v>
      </c>
      <c r="AV5">
        <v>0</v>
      </c>
      <c r="AW5">
        <v>0</v>
      </c>
      <c r="AX5">
        <v>2394</v>
      </c>
      <c r="AY5">
        <v>133</v>
      </c>
      <c r="AZ5">
        <v>0</v>
      </c>
      <c r="BC5">
        <v>-2261</v>
      </c>
      <c r="BE5" t="s">
        <v>114</v>
      </c>
      <c r="BH5">
        <v>-133</v>
      </c>
      <c r="BI5">
        <v>-11.083333333333334</v>
      </c>
      <c r="BK5" t="s">
        <v>116</v>
      </c>
      <c r="BL5">
        <v>0</v>
      </c>
      <c r="BM5">
        <v>-2394</v>
      </c>
      <c r="BR5">
        <v>0</v>
      </c>
      <c r="BS5">
        <v>0</v>
      </c>
      <c r="BW5" t="s">
        <v>167</v>
      </c>
      <c r="BX5" t="s">
        <v>168</v>
      </c>
      <c r="BZ5" t="s">
        <v>938</v>
      </c>
    </row>
    <row r="6" spans="1:83">
      <c r="A6" t="s">
        <v>180</v>
      </c>
      <c r="B6" t="s">
        <v>853</v>
      </c>
      <c r="C6" t="s">
        <v>54</v>
      </c>
      <c r="D6" t="s">
        <v>1</v>
      </c>
      <c r="E6" t="s">
        <v>115</v>
      </c>
      <c r="F6" t="s">
        <v>99</v>
      </c>
      <c r="G6" t="s">
        <v>100</v>
      </c>
      <c r="H6" t="s">
        <v>128</v>
      </c>
      <c r="I6" t="s">
        <v>100</v>
      </c>
      <c r="J6" t="s">
        <v>101</v>
      </c>
      <c r="K6" t="s">
        <v>559</v>
      </c>
      <c r="L6" t="s">
        <v>559</v>
      </c>
      <c r="M6" t="s">
        <v>100</v>
      </c>
      <c r="N6" t="s">
        <v>426</v>
      </c>
      <c r="O6" t="s">
        <v>100</v>
      </c>
      <c r="Q6" t="s">
        <v>426</v>
      </c>
      <c r="R6" t="s">
        <v>119</v>
      </c>
      <c r="S6" t="s">
        <v>130</v>
      </c>
      <c r="T6" t="s">
        <v>120</v>
      </c>
      <c r="U6" t="s">
        <v>101</v>
      </c>
      <c r="V6" t="s">
        <v>121</v>
      </c>
      <c r="W6" t="s">
        <v>122</v>
      </c>
      <c r="X6" t="s">
        <v>123</v>
      </c>
      <c r="Y6">
        <v>1</v>
      </c>
      <c r="Z6" t="s">
        <v>561</v>
      </c>
      <c r="AA6" s="280">
        <v>38071</v>
      </c>
      <c r="AB6" t="s">
        <v>114</v>
      </c>
      <c r="AC6" t="s">
        <v>124</v>
      </c>
      <c r="AD6" s="280">
        <v>44651</v>
      </c>
      <c r="AE6" t="s">
        <v>125</v>
      </c>
      <c r="AF6">
        <v>6</v>
      </c>
      <c r="AG6">
        <v>0</v>
      </c>
      <c r="AH6">
        <v>0</v>
      </c>
      <c r="AI6" t="s">
        <v>126</v>
      </c>
      <c r="AL6">
        <v>1</v>
      </c>
      <c r="AN6">
        <v>1</v>
      </c>
      <c r="AO6">
        <v>0</v>
      </c>
      <c r="AP6" t="s">
        <v>1051</v>
      </c>
      <c r="AR6" t="s">
        <v>127</v>
      </c>
      <c r="AS6">
        <v>6460.38</v>
      </c>
      <c r="AU6">
        <v>0</v>
      </c>
      <c r="AV6">
        <v>0</v>
      </c>
      <c r="AW6">
        <v>0</v>
      </c>
      <c r="AX6">
        <v>6460.38</v>
      </c>
      <c r="AY6">
        <v>358.91000000000076</v>
      </c>
      <c r="AZ6">
        <v>0</v>
      </c>
      <c r="BC6">
        <v>-6101.4699999999993</v>
      </c>
      <c r="BE6" t="s">
        <v>114</v>
      </c>
      <c r="BH6">
        <v>-358.91000000000076</v>
      </c>
      <c r="BI6">
        <v>-29.909166666666732</v>
      </c>
      <c r="BK6" t="s">
        <v>116</v>
      </c>
      <c r="BL6">
        <v>0</v>
      </c>
      <c r="BM6">
        <v>-6460.38</v>
      </c>
      <c r="BR6">
        <v>0</v>
      </c>
      <c r="BS6">
        <v>0</v>
      </c>
      <c r="BW6" t="s">
        <v>167</v>
      </c>
      <c r="BX6" t="s">
        <v>168</v>
      </c>
      <c r="BZ6" t="s">
        <v>939</v>
      </c>
    </row>
    <row r="7" spans="1:83">
      <c r="A7" t="s">
        <v>181</v>
      </c>
      <c r="B7" t="s">
        <v>854</v>
      </c>
      <c r="C7" t="s">
        <v>54</v>
      </c>
      <c r="D7" t="s">
        <v>1</v>
      </c>
      <c r="E7" t="s">
        <v>115</v>
      </c>
      <c r="F7" t="s">
        <v>99</v>
      </c>
      <c r="G7" t="s">
        <v>100</v>
      </c>
      <c r="H7" t="s">
        <v>128</v>
      </c>
      <c r="I7" t="s">
        <v>100</v>
      </c>
      <c r="J7" t="s">
        <v>101</v>
      </c>
      <c r="K7" t="s">
        <v>559</v>
      </c>
      <c r="L7" t="s">
        <v>559</v>
      </c>
      <c r="M7" t="s">
        <v>100</v>
      </c>
      <c r="N7" t="s">
        <v>427</v>
      </c>
      <c r="O7" t="s">
        <v>100</v>
      </c>
      <c r="Q7" t="s">
        <v>427</v>
      </c>
      <c r="R7" t="s">
        <v>119</v>
      </c>
      <c r="S7" t="s">
        <v>130</v>
      </c>
      <c r="T7" t="s">
        <v>120</v>
      </c>
      <c r="U7" t="s">
        <v>101</v>
      </c>
      <c r="V7" t="s">
        <v>121</v>
      </c>
      <c r="W7" t="s">
        <v>122</v>
      </c>
      <c r="X7" t="s">
        <v>123</v>
      </c>
      <c r="Y7">
        <v>1</v>
      </c>
      <c r="Z7" t="s">
        <v>561</v>
      </c>
      <c r="AA7" s="280">
        <v>38071</v>
      </c>
      <c r="AB7" t="s">
        <v>114</v>
      </c>
      <c r="AC7" t="s">
        <v>124</v>
      </c>
      <c r="AD7" s="280">
        <v>44651</v>
      </c>
      <c r="AE7" t="s">
        <v>125</v>
      </c>
      <c r="AF7">
        <v>6</v>
      </c>
      <c r="AG7">
        <v>0</v>
      </c>
      <c r="AH7">
        <v>0</v>
      </c>
      <c r="AI7" t="s">
        <v>126</v>
      </c>
      <c r="AL7">
        <v>1</v>
      </c>
      <c r="AN7">
        <v>1</v>
      </c>
      <c r="AO7">
        <v>0</v>
      </c>
      <c r="AP7" t="s">
        <v>1053</v>
      </c>
      <c r="AR7" t="s">
        <v>127</v>
      </c>
      <c r="AS7">
        <v>3780.24</v>
      </c>
      <c r="AU7">
        <v>0</v>
      </c>
      <c r="AV7">
        <v>0</v>
      </c>
      <c r="AW7">
        <v>0</v>
      </c>
      <c r="AX7">
        <v>3780.24</v>
      </c>
      <c r="AY7">
        <v>210.01333333333332</v>
      </c>
      <c r="AZ7">
        <v>0</v>
      </c>
      <c r="BC7">
        <v>-3570.2266666666665</v>
      </c>
      <c r="BE7" t="s">
        <v>114</v>
      </c>
      <c r="BH7">
        <v>-210.01333333333332</v>
      </c>
      <c r="BI7">
        <v>-17.501111111111111</v>
      </c>
      <c r="BK7" t="s">
        <v>116</v>
      </c>
      <c r="BL7">
        <v>0</v>
      </c>
      <c r="BM7">
        <v>-3780.24</v>
      </c>
      <c r="BR7">
        <v>0</v>
      </c>
      <c r="BS7">
        <v>0</v>
      </c>
      <c r="BW7" t="s">
        <v>167</v>
      </c>
      <c r="BX7" t="s">
        <v>168</v>
      </c>
      <c r="BZ7" t="s">
        <v>940</v>
      </c>
    </row>
    <row r="8" spans="1:83">
      <c r="A8" t="s">
        <v>182</v>
      </c>
      <c r="B8" t="s">
        <v>853</v>
      </c>
      <c r="C8" t="s">
        <v>54</v>
      </c>
      <c r="D8" t="s">
        <v>1</v>
      </c>
      <c r="E8" t="s">
        <v>115</v>
      </c>
      <c r="F8" t="s">
        <v>99</v>
      </c>
      <c r="G8" t="s">
        <v>100</v>
      </c>
      <c r="H8" t="s">
        <v>128</v>
      </c>
      <c r="I8" t="s">
        <v>100</v>
      </c>
      <c r="J8" t="s">
        <v>101</v>
      </c>
      <c r="K8" t="s">
        <v>559</v>
      </c>
      <c r="L8" t="s">
        <v>559</v>
      </c>
      <c r="M8" t="s">
        <v>100</v>
      </c>
      <c r="N8" t="s">
        <v>428</v>
      </c>
      <c r="O8" t="s">
        <v>100</v>
      </c>
      <c r="Q8" t="s">
        <v>428</v>
      </c>
      <c r="R8" t="s">
        <v>119</v>
      </c>
      <c r="S8" t="s">
        <v>130</v>
      </c>
      <c r="T8" t="s">
        <v>120</v>
      </c>
      <c r="U8" t="s">
        <v>101</v>
      </c>
      <c r="V8" t="s">
        <v>121</v>
      </c>
      <c r="W8" t="s">
        <v>122</v>
      </c>
      <c r="X8" t="s">
        <v>123</v>
      </c>
      <c r="Y8">
        <v>1</v>
      </c>
      <c r="Z8" t="s">
        <v>561</v>
      </c>
      <c r="AA8" s="280">
        <v>38071</v>
      </c>
      <c r="AB8" t="s">
        <v>114</v>
      </c>
      <c r="AC8" t="s">
        <v>124</v>
      </c>
      <c r="AD8" s="280">
        <v>44651</v>
      </c>
      <c r="AE8" t="s">
        <v>125</v>
      </c>
      <c r="AF8">
        <v>6</v>
      </c>
      <c r="AG8">
        <v>0</v>
      </c>
      <c r="AH8">
        <v>0</v>
      </c>
      <c r="AI8" t="s">
        <v>126</v>
      </c>
      <c r="AL8">
        <v>1</v>
      </c>
      <c r="AN8">
        <v>1</v>
      </c>
      <c r="AO8">
        <v>0</v>
      </c>
      <c r="AP8" t="s">
        <v>1051</v>
      </c>
      <c r="AR8" t="s">
        <v>127</v>
      </c>
      <c r="AS8">
        <v>2560.44</v>
      </c>
      <c r="AU8">
        <v>0</v>
      </c>
      <c r="AV8">
        <v>0</v>
      </c>
      <c r="AW8">
        <v>0</v>
      </c>
      <c r="AX8">
        <v>2560.44</v>
      </c>
      <c r="AY8">
        <v>142.24666666666644</v>
      </c>
      <c r="AZ8">
        <v>0</v>
      </c>
      <c r="BC8">
        <v>-2418.1933333333336</v>
      </c>
      <c r="BE8" t="s">
        <v>114</v>
      </c>
      <c r="BH8">
        <v>-142.24666666666644</v>
      </c>
      <c r="BI8">
        <v>-11.85388888888887</v>
      </c>
      <c r="BK8" t="s">
        <v>116</v>
      </c>
      <c r="BL8">
        <v>0</v>
      </c>
      <c r="BM8">
        <v>-2560.44</v>
      </c>
      <c r="BR8">
        <v>0</v>
      </c>
      <c r="BS8">
        <v>0</v>
      </c>
      <c r="BW8" t="s">
        <v>167</v>
      </c>
      <c r="BX8" t="s">
        <v>168</v>
      </c>
      <c r="BZ8" t="s">
        <v>941</v>
      </c>
    </row>
    <row r="9" spans="1:83">
      <c r="A9" t="s">
        <v>183</v>
      </c>
      <c r="B9" t="s">
        <v>853</v>
      </c>
      <c r="C9" t="s">
        <v>54</v>
      </c>
      <c r="D9" t="s">
        <v>1</v>
      </c>
      <c r="E9" t="s">
        <v>115</v>
      </c>
      <c r="F9" t="s">
        <v>99</v>
      </c>
      <c r="G9" t="s">
        <v>100</v>
      </c>
      <c r="H9" t="s">
        <v>128</v>
      </c>
      <c r="I9" t="s">
        <v>100</v>
      </c>
      <c r="J9" t="s">
        <v>101</v>
      </c>
      <c r="K9" t="s">
        <v>559</v>
      </c>
      <c r="L9" t="s">
        <v>559</v>
      </c>
      <c r="M9" t="s">
        <v>100</v>
      </c>
      <c r="N9" t="s">
        <v>428</v>
      </c>
      <c r="O9" t="s">
        <v>100</v>
      </c>
      <c r="Q9" t="s">
        <v>428</v>
      </c>
      <c r="R9" t="s">
        <v>119</v>
      </c>
      <c r="S9" t="s">
        <v>130</v>
      </c>
      <c r="T9" t="s">
        <v>120</v>
      </c>
      <c r="U9" t="s">
        <v>101</v>
      </c>
      <c r="V9" t="s">
        <v>121</v>
      </c>
      <c r="W9" t="s">
        <v>122</v>
      </c>
      <c r="X9" t="s">
        <v>123</v>
      </c>
      <c r="Y9">
        <v>1</v>
      </c>
      <c r="Z9" t="s">
        <v>561</v>
      </c>
      <c r="AA9" s="280">
        <v>38071</v>
      </c>
      <c r="AB9" t="s">
        <v>114</v>
      </c>
      <c r="AC9" t="s">
        <v>124</v>
      </c>
      <c r="AD9" s="280">
        <v>44651</v>
      </c>
      <c r="AE9" t="s">
        <v>125</v>
      </c>
      <c r="AF9">
        <v>6</v>
      </c>
      <c r="AG9">
        <v>0</v>
      </c>
      <c r="AH9">
        <v>0</v>
      </c>
      <c r="AI9" t="s">
        <v>126</v>
      </c>
      <c r="AL9">
        <v>1</v>
      </c>
      <c r="AN9">
        <v>1</v>
      </c>
      <c r="AO9">
        <v>0</v>
      </c>
      <c r="AP9" t="s">
        <v>1050</v>
      </c>
      <c r="AR9" t="s">
        <v>127</v>
      </c>
      <c r="AS9">
        <v>2560.44</v>
      </c>
      <c r="AU9">
        <v>0</v>
      </c>
      <c r="AV9">
        <v>0</v>
      </c>
      <c r="AW9">
        <v>0</v>
      </c>
      <c r="AX9">
        <v>2560.44</v>
      </c>
      <c r="AY9">
        <v>142.24666666666644</v>
      </c>
      <c r="AZ9">
        <v>0</v>
      </c>
      <c r="BC9">
        <v>-2418.1933333333336</v>
      </c>
      <c r="BE9" t="s">
        <v>114</v>
      </c>
      <c r="BH9">
        <v>-142.24666666666644</v>
      </c>
      <c r="BI9">
        <v>-11.85388888888887</v>
      </c>
      <c r="BK9" t="s">
        <v>116</v>
      </c>
      <c r="BL9">
        <v>0</v>
      </c>
      <c r="BM9">
        <v>-2560.44</v>
      </c>
      <c r="BR9">
        <v>0</v>
      </c>
      <c r="BS9">
        <v>0</v>
      </c>
      <c r="BW9" t="s">
        <v>167</v>
      </c>
      <c r="BX9" t="s">
        <v>168</v>
      </c>
      <c r="BZ9" t="s">
        <v>939</v>
      </c>
    </row>
    <row r="10" spans="1:83">
      <c r="A10" t="s">
        <v>184</v>
      </c>
      <c r="B10" t="s">
        <v>856</v>
      </c>
      <c r="C10" t="s">
        <v>54</v>
      </c>
      <c r="D10" t="s">
        <v>1</v>
      </c>
      <c r="E10" t="s">
        <v>115</v>
      </c>
      <c r="F10" t="s">
        <v>99</v>
      </c>
      <c r="G10" t="s">
        <v>100</v>
      </c>
      <c r="H10" t="s">
        <v>128</v>
      </c>
      <c r="I10" t="s">
        <v>100</v>
      </c>
      <c r="J10" t="s">
        <v>101</v>
      </c>
      <c r="K10" t="s">
        <v>559</v>
      </c>
      <c r="L10" t="s">
        <v>559</v>
      </c>
      <c r="M10" t="s">
        <v>100</v>
      </c>
      <c r="N10" t="s">
        <v>428</v>
      </c>
      <c r="O10" t="s">
        <v>100</v>
      </c>
      <c r="Q10" t="s">
        <v>428</v>
      </c>
      <c r="R10" t="s">
        <v>119</v>
      </c>
      <c r="S10" t="s">
        <v>130</v>
      </c>
      <c r="T10" t="s">
        <v>120</v>
      </c>
      <c r="U10" t="s">
        <v>101</v>
      </c>
      <c r="V10" t="s">
        <v>121</v>
      </c>
      <c r="W10" t="s">
        <v>122</v>
      </c>
      <c r="X10" t="s">
        <v>123</v>
      </c>
      <c r="Y10">
        <v>1</v>
      </c>
      <c r="Z10" t="s">
        <v>561</v>
      </c>
      <c r="AA10" s="280">
        <v>38071</v>
      </c>
      <c r="AB10" t="s">
        <v>114</v>
      </c>
      <c r="AC10" t="s">
        <v>124</v>
      </c>
      <c r="AD10" s="280">
        <v>44651</v>
      </c>
      <c r="AE10" t="s">
        <v>125</v>
      </c>
      <c r="AF10">
        <v>6</v>
      </c>
      <c r="AG10">
        <v>0</v>
      </c>
      <c r="AH10">
        <v>0</v>
      </c>
      <c r="AI10" t="s">
        <v>126</v>
      </c>
      <c r="AL10">
        <v>1</v>
      </c>
      <c r="AN10">
        <v>1</v>
      </c>
      <c r="AO10">
        <v>0</v>
      </c>
      <c r="AP10" t="s">
        <v>1051</v>
      </c>
      <c r="AR10" t="s">
        <v>127</v>
      </c>
      <c r="AS10">
        <v>2560.44</v>
      </c>
      <c r="AU10">
        <v>0</v>
      </c>
      <c r="AV10">
        <v>0</v>
      </c>
      <c r="AW10">
        <v>0</v>
      </c>
      <c r="AX10">
        <v>2560.44</v>
      </c>
      <c r="AY10">
        <v>142.24666666666644</v>
      </c>
      <c r="AZ10">
        <v>0</v>
      </c>
      <c r="BC10">
        <v>-2418.1933333333336</v>
      </c>
      <c r="BE10" t="s">
        <v>114</v>
      </c>
      <c r="BH10">
        <v>-142.24666666666644</v>
      </c>
      <c r="BI10">
        <v>-11.85388888888887</v>
      </c>
      <c r="BK10" t="s">
        <v>116</v>
      </c>
      <c r="BL10">
        <v>0</v>
      </c>
      <c r="BM10">
        <v>-2560.44</v>
      </c>
      <c r="BR10">
        <v>0</v>
      </c>
      <c r="BS10">
        <v>0</v>
      </c>
      <c r="BW10" t="s">
        <v>167</v>
      </c>
      <c r="BX10" t="s">
        <v>168</v>
      </c>
      <c r="BZ10" t="s">
        <v>940</v>
      </c>
    </row>
    <row r="11" spans="1:83">
      <c r="A11" t="s">
        <v>185</v>
      </c>
      <c r="B11" t="s">
        <v>851</v>
      </c>
      <c r="C11" t="s">
        <v>54</v>
      </c>
      <c r="D11" t="s">
        <v>1</v>
      </c>
      <c r="E11" t="s">
        <v>115</v>
      </c>
      <c r="F11" t="s">
        <v>99</v>
      </c>
      <c r="G11" t="s">
        <v>100</v>
      </c>
      <c r="H11" t="s">
        <v>128</v>
      </c>
      <c r="I11" t="s">
        <v>100</v>
      </c>
      <c r="J11" t="s">
        <v>101</v>
      </c>
      <c r="K11" t="s">
        <v>559</v>
      </c>
      <c r="L11" t="s">
        <v>559</v>
      </c>
      <c r="M11" t="s">
        <v>100</v>
      </c>
      <c r="N11" t="s">
        <v>429</v>
      </c>
      <c r="O11" t="s">
        <v>100</v>
      </c>
      <c r="Q11" t="s">
        <v>429</v>
      </c>
      <c r="R11" t="s">
        <v>119</v>
      </c>
      <c r="S11" t="s">
        <v>130</v>
      </c>
      <c r="T11" t="s">
        <v>120</v>
      </c>
      <c r="U11" t="s">
        <v>101</v>
      </c>
      <c r="V11" t="s">
        <v>121</v>
      </c>
      <c r="W11" t="s">
        <v>122</v>
      </c>
      <c r="X11" t="s">
        <v>123</v>
      </c>
      <c r="Y11">
        <v>1</v>
      </c>
      <c r="Z11" t="s">
        <v>561</v>
      </c>
      <c r="AA11" s="280">
        <v>38071</v>
      </c>
      <c r="AB11" t="s">
        <v>114</v>
      </c>
      <c r="AC11" t="s">
        <v>124</v>
      </c>
      <c r="AD11" s="280">
        <v>44651</v>
      </c>
      <c r="AE11" t="s">
        <v>125</v>
      </c>
      <c r="AF11">
        <v>6</v>
      </c>
      <c r="AG11">
        <v>0</v>
      </c>
      <c r="AH11">
        <v>0</v>
      </c>
      <c r="AI11" t="s">
        <v>126</v>
      </c>
      <c r="AL11">
        <v>1</v>
      </c>
      <c r="AN11">
        <v>1</v>
      </c>
      <c r="AO11">
        <v>0</v>
      </c>
      <c r="AP11" t="s">
        <v>1050</v>
      </c>
      <c r="AR11" t="s">
        <v>127</v>
      </c>
      <c r="AS11">
        <v>2560.44</v>
      </c>
      <c r="AU11">
        <v>0</v>
      </c>
      <c r="AV11">
        <v>0</v>
      </c>
      <c r="AW11">
        <v>0</v>
      </c>
      <c r="AX11">
        <v>2560.44</v>
      </c>
      <c r="AY11">
        <v>142.24666666666644</v>
      </c>
      <c r="AZ11">
        <v>0</v>
      </c>
      <c r="BC11">
        <v>-2418.1933333333336</v>
      </c>
      <c r="BE11" t="s">
        <v>114</v>
      </c>
      <c r="BH11">
        <v>-142.24666666666644</v>
      </c>
      <c r="BI11">
        <v>-11.85388888888887</v>
      </c>
      <c r="BK11" t="s">
        <v>116</v>
      </c>
      <c r="BL11">
        <v>0</v>
      </c>
      <c r="BM11">
        <v>-2560.44</v>
      </c>
      <c r="BR11">
        <v>0</v>
      </c>
      <c r="BS11">
        <v>0</v>
      </c>
      <c r="BW11" t="s">
        <v>167</v>
      </c>
      <c r="BX11" t="s">
        <v>168</v>
      </c>
      <c r="BZ11" t="s">
        <v>938</v>
      </c>
    </row>
    <row r="12" spans="1:83">
      <c r="A12" t="s">
        <v>186</v>
      </c>
      <c r="B12" t="s">
        <v>857</v>
      </c>
      <c r="C12" t="s">
        <v>54</v>
      </c>
      <c r="D12" t="s">
        <v>1</v>
      </c>
      <c r="E12" t="s">
        <v>115</v>
      </c>
      <c r="F12" t="s">
        <v>99</v>
      </c>
      <c r="G12" t="s">
        <v>100</v>
      </c>
      <c r="H12" t="s">
        <v>128</v>
      </c>
      <c r="I12" t="s">
        <v>100</v>
      </c>
      <c r="J12" t="s">
        <v>101</v>
      </c>
      <c r="K12" t="s">
        <v>559</v>
      </c>
      <c r="L12" t="s">
        <v>559</v>
      </c>
      <c r="M12" t="s">
        <v>100</v>
      </c>
      <c r="N12" t="s">
        <v>430</v>
      </c>
      <c r="O12" t="s">
        <v>100</v>
      </c>
      <c r="Q12" t="s">
        <v>430</v>
      </c>
      <c r="R12" t="s">
        <v>119</v>
      </c>
      <c r="S12" t="s">
        <v>130</v>
      </c>
      <c r="T12" t="s">
        <v>120</v>
      </c>
      <c r="U12" t="s">
        <v>101</v>
      </c>
      <c r="V12" t="s">
        <v>121</v>
      </c>
      <c r="W12" t="s">
        <v>122</v>
      </c>
      <c r="X12" t="s">
        <v>123</v>
      </c>
      <c r="Y12">
        <v>1</v>
      </c>
      <c r="Z12" t="s">
        <v>561</v>
      </c>
      <c r="AA12" s="280">
        <v>38071</v>
      </c>
      <c r="AB12" t="s">
        <v>114</v>
      </c>
      <c r="AC12" t="s">
        <v>124</v>
      </c>
      <c r="AD12" s="280">
        <v>44651</v>
      </c>
      <c r="AE12" t="s">
        <v>125</v>
      </c>
      <c r="AF12">
        <v>6</v>
      </c>
      <c r="AG12">
        <v>0</v>
      </c>
      <c r="AH12">
        <v>0</v>
      </c>
      <c r="AI12" t="s">
        <v>126</v>
      </c>
      <c r="AL12">
        <v>1</v>
      </c>
      <c r="AN12">
        <v>1</v>
      </c>
      <c r="AO12">
        <v>0</v>
      </c>
      <c r="AP12" t="s">
        <v>1050</v>
      </c>
      <c r="AR12" t="s">
        <v>127</v>
      </c>
      <c r="AS12">
        <v>2046.3</v>
      </c>
      <c r="AU12">
        <v>0</v>
      </c>
      <c r="AV12">
        <v>0</v>
      </c>
      <c r="AW12">
        <v>0</v>
      </c>
      <c r="AX12">
        <v>2046.3</v>
      </c>
      <c r="AY12">
        <v>113.68333333333317</v>
      </c>
      <c r="AZ12">
        <v>0</v>
      </c>
      <c r="BC12">
        <v>-1932.6166666666668</v>
      </c>
      <c r="BE12" t="s">
        <v>114</v>
      </c>
      <c r="BH12">
        <v>-113.68333333333317</v>
      </c>
      <c r="BI12">
        <v>-9.4736111111110972</v>
      </c>
      <c r="BK12" t="s">
        <v>116</v>
      </c>
      <c r="BL12">
        <v>0</v>
      </c>
      <c r="BM12">
        <v>-2046.3</v>
      </c>
      <c r="BR12">
        <v>0</v>
      </c>
      <c r="BS12">
        <v>0</v>
      </c>
      <c r="BW12" t="s">
        <v>167</v>
      </c>
      <c r="BX12" t="s">
        <v>168</v>
      </c>
      <c r="BZ12" t="s">
        <v>942</v>
      </c>
    </row>
    <row r="13" spans="1:83">
      <c r="A13" t="s">
        <v>187</v>
      </c>
      <c r="B13" t="s">
        <v>858</v>
      </c>
      <c r="C13" t="s">
        <v>54</v>
      </c>
      <c r="D13" t="s">
        <v>1</v>
      </c>
      <c r="E13" t="s">
        <v>115</v>
      </c>
      <c r="F13" t="s">
        <v>99</v>
      </c>
      <c r="G13" t="s">
        <v>100</v>
      </c>
      <c r="H13" t="s">
        <v>128</v>
      </c>
      <c r="I13" t="s">
        <v>100</v>
      </c>
      <c r="J13" t="s">
        <v>101</v>
      </c>
      <c r="K13" t="s">
        <v>559</v>
      </c>
      <c r="L13" t="s">
        <v>559</v>
      </c>
      <c r="M13" t="s">
        <v>100</v>
      </c>
      <c r="N13" t="s">
        <v>431</v>
      </c>
      <c r="O13" t="s">
        <v>100</v>
      </c>
      <c r="Q13" t="s">
        <v>431</v>
      </c>
      <c r="R13" t="s">
        <v>119</v>
      </c>
      <c r="S13" t="s">
        <v>130</v>
      </c>
      <c r="T13" t="s">
        <v>120</v>
      </c>
      <c r="U13" t="s">
        <v>101</v>
      </c>
      <c r="V13" t="s">
        <v>121</v>
      </c>
      <c r="W13" t="s">
        <v>122</v>
      </c>
      <c r="X13" t="s">
        <v>123</v>
      </c>
      <c r="Y13">
        <v>1</v>
      </c>
      <c r="Z13" t="s">
        <v>561</v>
      </c>
      <c r="AA13" s="280">
        <v>38071</v>
      </c>
      <c r="AB13" t="s">
        <v>114</v>
      </c>
      <c r="AC13" t="s">
        <v>124</v>
      </c>
      <c r="AD13" s="280">
        <v>44651</v>
      </c>
      <c r="AE13" t="s">
        <v>125</v>
      </c>
      <c r="AF13">
        <v>6</v>
      </c>
      <c r="AG13">
        <v>0</v>
      </c>
      <c r="AH13">
        <v>0</v>
      </c>
      <c r="AI13" t="s">
        <v>126</v>
      </c>
      <c r="AL13">
        <v>1</v>
      </c>
      <c r="AN13">
        <v>1</v>
      </c>
      <c r="AO13">
        <v>0</v>
      </c>
      <c r="AP13" t="s">
        <v>1051</v>
      </c>
      <c r="AR13" t="s">
        <v>127</v>
      </c>
      <c r="AS13">
        <v>13393.86</v>
      </c>
      <c r="AU13">
        <v>0</v>
      </c>
      <c r="AV13">
        <v>0</v>
      </c>
      <c r="AW13">
        <v>0</v>
      </c>
      <c r="AX13">
        <v>13393.86</v>
      </c>
      <c r="AY13">
        <v>744.10333333333256</v>
      </c>
      <c r="AZ13">
        <v>0</v>
      </c>
      <c r="BC13">
        <v>-12649.756666666668</v>
      </c>
      <c r="BE13" t="s">
        <v>114</v>
      </c>
      <c r="BH13">
        <v>-744.10333333333256</v>
      </c>
      <c r="BI13">
        <v>-62.008611111111044</v>
      </c>
      <c r="BK13" t="s">
        <v>116</v>
      </c>
      <c r="BL13">
        <v>0</v>
      </c>
      <c r="BM13">
        <v>-13393.86</v>
      </c>
      <c r="BR13">
        <v>0</v>
      </c>
      <c r="BS13">
        <v>0</v>
      </c>
      <c r="BW13" t="s">
        <v>167</v>
      </c>
      <c r="BX13" t="s">
        <v>168</v>
      </c>
      <c r="BZ13" t="s">
        <v>943</v>
      </c>
    </row>
    <row r="14" spans="1:83">
      <c r="A14" t="s">
        <v>188</v>
      </c>
      <c r="B14" t="s">
        <v>859</v>
      </c>
      <c r="C14" t="s">
        <v>54</v>
      </c>
      <c r="D14" t="s">
        <v>1</v>
      </c>
      <c r="E14" t="s">
        <v>115</v>
      </c>
      <c r="F14" t="s">
        <v>99</v>
      </c>
      <c r="G14" t="s">
        <v>100</v>
      </c>
      <c r="H14" t="s">
        <v>128</v>
      </c>
      <c r="I14" t="s">
        <v>100</v>
      </c>
      <c r="J14" t="s">
        <v>101</v>
      </c>
      <c r="K14" t="s">
        <v>559</v>
      </c>
      <c r="L14" t="s">
        <v>559</v>
      </c>
      <c r="M14" t="s">
        <v>100</v>
      </c>
      <c r="N14" t="s">
        <v>432</v>
      </c>
      <c r="O14" t="s">
        <v>100</v>
      </c>
      <c r="Q14" t="s">
        <v>432</v>
      </c>
      <c r="R14" t="s">
        <v>119</v>
      </c>
      <c r="S14" t="s">
        <v>130</v>
      </c>
      <c r="T14" t="s">
        <v>120</v>
      </c>
      <c r="U14" t="s">
        <v>101</v>
      </c>
      <c r="V14" t="s">
        <v>121</v>
      </c>
      <c r="W14" t="s">
        <v>122</v>
      </c>
      <c r="X14" t="s">
        <v>123</v>
      </c>
      <c r="Y14">
        <v>1</v>
      </c>
      <c r="Z14" t="s">
        <v>561</v>
      </c>
      <c r="AA14" s="280">
        <v>38071</v>
      </c>
      <c r="AB14" t="s">
        <v>114</v>
      </c>
      <c r="AC14" t="s">
        <v>124</v>
      </c>
      <c r="AD14" s="280">
        <v>44651</v>
      </c>
      <c r="AE14" t="s">
        <v>125</v>
      </c>
      <c r="AF14">
        <v>6</v>
      </c>
      <c r="AG14">
        <v>0</v>
      </c>
      <c r="AH14">
        <v>0</v>
      </c>
      <c r="AI14" t="s">
        <v>126</v>
      </c>
      <c r="AL14">
        <v>1</v>
      </c>
      <c r="AN14">
        <v>1</v>
      </c>
      <c r="AO14">
        <v>0</v>
      </c>
      <c r="AP14" t="s">
        <v>1050</v>
      </c>
      <c r="AR14" t="s">
        <v>127</v>
      </c>
      <c r="AS14">
        <v>2360.94</v>
      </c>
      <c r="AU14">
        <v>0</v>
      </c>
      <c r="AV14">
        <v>0</v>
      </c>
      <c r="AW14">
        <v>0</v>
      </c>
      <c r="AX14">
        <v>2360.94</v>
      </c>
      <c r="AY14">
        <v>131.16333333333341</v>
      </c>
      <c r="AZ14">
        <v>0</v>
      </c>
      <c r="BC14">
        <v>-2229.7766666666666</v>
      </c>
      <c r="BE14" t="s">
        <v>114</v>
      </c>
      <c r="BH14">
        <v>-131.16333333333341</v>
      </c>
      <c r="BI14">
        <v>-10.930277777777784</v>
      </c>
      <c r="BK14" t="s">
        <v>116</v>
      </c>
      <c r="BL14">
        <v>0</v>
      </c>
      <c r="BM14">
        <v>-2360.94</v>
      </c>
      <c r="BR14">
        <v>0</v>
      </c>
      <c r="BS14">
        <v>0</v>
      </c>
      <c r="BW14" t="s">
        <v>167</v>
      </c>
      <c r="BX14" t="s">
        <v>168</v>
      </c>
      <c r="BZ14" t="s">
        <v>944</v>
      </c>
    </row>
    <row r="15" spans="1:83">
      <c r="A15" t="s">
        <v>189</v>
      </c>
      <c r="B15" t="s">
        <v>860</v>
      </c>
      <c r="C15" t="s">
        <v>54</v>
      </c>
      <c r="D15" t="s">
        <v>1</v>
      </c>
      <c r="E15" t="s">
        <v>115</v>
      </c>
      <c r="F15" t="s">
        <v>99</v>
      </c>
      <c r="G15" t="s">
        <v>100</v>
      </c>
      <c r="H15" t="s">
        <v>128</v>
      </c>
      <c r="I15" t="s">
        <v>100</v>
      </c>
      <c r="J15" t="s">
        <v>101</v>
      </c>
      <c r="K15" t="s">
        <v>559</v>
      </c>
      <c r="L15" t="s">
        <v>559</v>
      </c>
      <c r="M15" t="s">
        <v>100</v>
      </c>
      <c r="N15" t="s">
        <v>433</v>
      </c>
      <c r="O15" t="s">
        <v>100</v>
      </c>
      <c r="Q15" t="s">
        <v>433</v>
      </c>
      <c r="R15" t="s">
        <v>119</v>
      </c>
      <c r="S15" t="s">
        <v>130</v>
      </c>
      <c r="T15" t="s">
        <v>120</v>
      </c>
      <c r="U15" t="s">
        <v>101</v>
      </c>
      <c r="V15" t="s">
        <v>121</v>
      </c>
      <c r="W15" t="s">
        <v>122</v>
      </c>
      <c r="X15" t="s">
        <v>123</v>
      </c>
      <c r="Y15">
        <v>1</v>
      </c>
      <c r="Z15" t="s">
        <v>561</v>
      </c>
      <c r="AA15" s="280">
        <v>38071</v>
      </c>
      <c r="AB15" t="s">
        <v>114</v>
      </c>
      <c r="AC15" t="s">
        <v>124</v>
      </c>
      <c r="AD15" s="280">
        <v>44651</v>
      </c>
      <c r="AE15" t="s">
        <v>125</v>
      </c>
      <c r="AF15">
        <v>6</v>
      </c>
      <c r="AG15">
        <v>0</v>
      </c>
      <c r="AH15">
        <v>0</v>
      </c>
      <c r="AI15" t="s">
        <v>126</v>
      </c>
      <c r="AL15">
        <v>1</v>
      </c>
      <c r="AN15">
        <v>1</v>
      </c>
      <c r="AO15">
        <v>0</v>
      </c>
      <c r="AP15" t="s">
        <v>1050</v>
      </c>
      <c r="AR15" t="s">
        <v>127</v>
      </c>
      <c r="AS15">
        <v>3034.68</v>
      </c>
      <c r="AU15">
        <v>0</v>
      </c>
      <c r="AV15">
        <v>0</v>
      </c>
      <c r="AW15">
        <v>0</v>
      </c>
      <c r="AX15">
        <v>3034.68</v>
      </c>
      <c r="AY15">
        <v>168.5933333333337</v>
      </c>
      <c r="AZ15">
        <v>0</v>
      </c>
      <c r="BC15">
        <v>-2866.0866666666661</v>
      </c>
      <c r="BE15" t="s">
        <v>114</v>
      </c>
      <c r="BH15">
        <v>-168.5933333333337</v>
      </c>
      <c r="BI15">
        <v>-14.049444444444475</v>
      </c>
      <c r="BK15" t="s">
        <v>116</v>
      </c>
      <c r="BL15">
        <v>0</v>
      </c>
      <c r="BM15">
        <v>-3034.68</v>
      </c>
      <c r="BR15">
        <v>0</v>
      </c>
      <c r="BS15">
        <v>0</v>
      </c>
      <c r="BW15" t="s">
        <v>167</v>
      </c>
      <c r="BX15" t="s">
        <v>168</v>
      </c>
      <c r="BZ15" t="s">
        <v>945</v>
      </c>
    </row>
    <row r="16" spans="1:83">
      <c r="A16" t="s">
        <v>190</v>
      </c>
      <c r="B16" t="s">
        <v>861</v>
      </c>
      <c r="C16" t="s">
        <v>54</v>
      </c>
      <c r="D16" t="s">
        <v>1</v>
      </c>
      <c r="E16" t="s">
        <v>115</v>
      </c>
      <c r="F16" t="s">
        <v>99</v>
      </c>
      <c r="G16" t="s">
        <v>100</v>
      </c>
      <c r="H16" t="s">
        <v>128</v>
      </c>
      <c r="I16" t="s">
        <v>100</v>
      </c>
      <c r="J16" t="s">
        <v>101</v>
      </c>
      <c r="K16" t="s">
        <v>559</v>
      </c>
      <c r="L16" t="s">
        <v>559</v>
      </c>
      <c r="M16" t="s">
        <v>100</v>
      </c>
      <c r="N16" t="s">
        <v>434</v>
      </c>
      <c r="O16" t="s">
        <v>100</v>
      </c>
      <c r="Q16" t="s">
        <v>434</v>
      </c>
      <c r="R16" t="s">
        <v>119</v>
      </c>
      <c r="S16" t="s">
        <v>130</v>
      </c>
      <c r="T16" t="s">
        <v>120</v>
      </c>
      <c r="U16" t="s">
        <v>101</v>
      </c>
      <c r="V16" t="s">
        <v>121</v>
      </c>
      <c r="W16" t="s">
        <v>122</v>
      </c>
      <c r="X16" t="s">
        <v>123</v>
      </c>
      <c r="Y16">
        <v>1</v>
      </c>
      <c r="Z16" t="s">
        <v>561</v>
      </c>
      <c r="AA16" s="280">
        <v>38071</v>
      </c>
      <c r="AB16" t="s">
        <v>114</v>
      </c>
      <c r="AC16" t="s">
        <v>124</v>
      </c>
      <c r="AD16" s="280">
        <v>44651</v>
      </c>
      <c r="AE16" t="s">
        <v>125</v>
      </c>
      <c r="AF16">
        <v>6</v>
      </c>
      <c r="AG16">
        <v>0</v>
      </c>
      <c r="AH16">
        <v>0</v>
      </c>
      <c r="AI16" t="s">
        <v>126</v>
      </c>
      <c r="AL16">
        <v>1</v>
      </c>
      <c r="AN16">
        <v>1</v>
      </c>
      <c r="AO16">
        <v>0</v>
      </c>
      <c r="AP16" t="s">
        <v>1050</v>
      </c>
      <c r="AR16" t="s">
        <v>127</v>
      </c>
      <c r="AS16">
        <v>2273.16</v>
      </c>
      <c r="AU16">
        <v>0</v>
      </c>
      <c r="AV16">
        <v>0</v>
      </c>
      <c r="AW16">
        <v>0</v>
      </c>
      <c r="AX16">
        <v>2273.16</v>
      </c>
      <c r="AY16">
        <v>126.28666666666686</v>
      </c>
      <c r="AZ16">
        <v>0</v>
      </c>
      <c r="BC16">
        <v>-2146.873333333333</v>
      </c>
      <c r="BE16" t="s">
        <v>114</v>
      </c>
      <c r="BH16">
        <v>-126.28666666666686</v>
      </c>
      <c r="BI16">
        <v>-10.523888888888905</v>
      </c>
      <c r="BK16" t="s">
        <v>116</v>
      </c>
      <c r="BL16">
        <v>0</v>
      </c>
      <c r="BM16">
        <v>-2273.16</v>
      </c>
      <c r="BR16">
        <v>0</v>
      </c>
      <c r="BS16">
        <v>0</v>
      </c>
      <c r="BW16" t="s">
        <v>167</v>
      </c>
      <c r="BX16" t="s">
        <v>168</v>
      </c>
      <c r="BZ16" t="s">
        <v>943</v>
      </c>
    </row>
    <row r="17" spans="1:78">
      <c r="A17" t="s">
        <v>191</v>
      </c>
      <c r="B17" t="s">
        <v>862</v>
      </c>
      <c r="C17" t="s">
        <v>54</v>
      </c>
      <c r="D17" t="s">
        <v>1</v>
      </c>
      <c r="E17" t="s">
        <v>115</v>
      </c>
      <c r="F17" t="s">
        <v>99</v>
      </c>
      <c r="G17" t="s">
        <v>100</v>
      </c>
      <c r="H17" t="s">
        <v>128</v>
      </c>
      <c r="I17" t="s">
        <v>100</v>
      </c>
      <c r="J17" t="s">
        <v>101</v>
      </c>
      <c r="K17" t="s">
        <v>559</v>
      </c>
      <c r="L17" t="s">
        <v>559</v>
      </c>
      <c r="M17" t="s">
        <v>100</v>
      </c>
      <c r="N17" t="s">
        <v>435</v>
      </c>
      <c r="O17" t="s">
        <v>100</v>
      </c>
      <c r="Q17" t="s">
        <v>435</v>
      </c>
      <c r="R17" t="s">
        <v>119</v>
      </c>
      <c r="S17" t="s">
        <v>130</v>
      </c>
      <c r="T17" t="s">
        <v>120</v>
      </c>
      <c r="U17" t="s">
        <v>101</v>
      </c>
      <c r="V17" t="s">
        <v>121</v>
      </c>
      <c r="W17" t="s">
        <v>122</v>
      </c>
      <c r="X17" t="s">
        <v>123</v>
      </c>
      <c r="Y17">
        <v>1</v>
      </c>
      <c r="Z17" t="s">
        <v>561</v>
      </c>
      <c r="AA17" s="280">
        <v>38071</v>
      </c>
      <c r="AB17" t="s">
        <v>114</v>
      </c>
      <c r="AC17" t="s">
        <v>124</v>
      </c>
      <c r="AD17" s="280">
        <v>44651</v>
      </c>
      <c r="AE17" t="s">
        <v>125</v>
      </c>
      <c r="AF17">
        <v>6</v>
      </c>
      <c r="AG17">
        <v>0</v>
      </c>
      <c r="AH17">
        <v>0</v>
      </c>
      <c r="AI17" t="s">
        <v>126</v>
      </c>
      <c r="AL17">
        <v>1</v>
      </c>
      <c r="AN17">
        <v>1</v>
      </c>
      <c r="AO17">
        <v>0</v>
      </c>
      <c r="AP17" t="s">
        <v>1051</v>
      </c>
      <c r="AR17" t="s">
        <v>127</v>
      </c>
      <c r="AS17">
        <v>2273.16</v>
      </c>
      <c r="AU17">
        <v>0</v>
      </c>
      <c r="AV17">
        <v>0</v>
      </c>
      <c r="AW17">
        <v>0</v>
      </c>
      <c r="AX17">
        <v>2273.16</v>
      </c>
      <c r="AY17">
        <v>126.28666666666686</v>
      </c>
      <c r="AZ17">
        <v>0</v>
      </c>
      <c r="BC17">
        <v>-2146.873333333333</v>
      </c>
      <c r="BE17" t="s">
        <v>114</v>
      </c>
      <c r="BH17">
        <v>-126.28666666666686</v>
      </c>
      <c r="BI17">
        <v>-10.523888888888905</v>
      </c>
      <c r="BK17" t="s">
        <v>116</v>
      </c>
      <c r="BL17">
        <v>0</v>
      </c>
      <c r="BM17">
        <v>-2273.16</v>
      </c>
      <c r="BR17">
        <v>0</v>
      </c>
      <c r="BS17">
        <v>0</v>
      </c>
      <c r="BW17" t="s">
        <v>167</v>
      </c>
      <c r="BX17" t="s">
        <v>168</v>
      </c>
      <c r="BZ17" t="s">
        <v>942</v>
      </c>
    </row>
    <row r="18" spans="1:78">
      <c r="A18" t="s">
        <v>192</v>
      </c>
      <c r="B18" t="s">
        <v>859</v>
      </c>
      <c r="C18" t="s">
        <v>54</v>
      </c>
      <c r="D18" t="s">
        <v>1</v>
      </c>
      <c r="E18" t="s">
        <v>115</v>
      </c>
      <c r="F18" t="s">
        <v>99</v>
      </c>
      <c r="G18" t="s">
        <v>100</v>
      </c>
      <c r="H18" t="s">
        <v>128</v>
      </c>
      <c r="I18" t="s">
        <v>100</v>
      </c>
      <c r="J18" t="s">
        <v>101</v>
      </c>
      <c r="K18" t="s">
        <v>559</v>
      </c>
      <c r="L18" t="s">
        <v>559</v>
      </c>
      <c r="M18" t="s">
        <v>100</v>
      </c>
      <c r="N18" t="s">
        <v>431</v>
      </c>
      <c r="O18" t="s">
        <v>100</v>
      </c>
      <c r="Q18" t="s">
        <v>431</v>
      </c>
      <c r="R18" t="s">
        <v>119</v>
      </c>
      <c r="S18" t="s">
        <v>130</v>
      </c>
      <c r="T18" t="s">
        <v>120</v>
      </c>
      <c r="U18" t="s">
        <v>101</v>
      </c>
      <c r="V18" t="s">
        <v>121</v>
      </c>
      <c r="W18" t="s">
        <v>122</v>
      </c>
      <c r="X18" t="s">
        <v>123</v>
      </c>
      <c r="Y18">
        <v>1</v>
      </c>
      <c r="Z18" t="s">
        <v>561</v>
      </c>
      <c r="AA18" s="280">
        <v>38071</v>
      </c>
      <c r="AB18" t="s">
        <v>114</v>
      </c>
      <c r="AC18" t="s">
        <v>124</v>
      </c>
      <c r="AD18" s="280">
        <v>44651</v>
      </c>
      <c r="AE18" t="s">
        <v>125</v>
      </c>
      <c r="AF18">
        <v>6</v>
      </c>
      <c r="AG18">
        <v>0</v>
      </c>
      <c r="AH18">
        <v>0</v>
      </c>
      <c r="AI18" t="s">
        <v>126</v>
      </c>
      <c r="AL18">
        <v>1</v>
      </c>
      <c r="AN18">
        <v>1</v>
      </c>
      <c r="AO18">
        <v>0</v>
      </c>
      <c r="AP18" t="s">
        <v>1050</v>
      </c>
      <c r="AR18" t="s">
        <v>127</v>
      </c>
      <c r="AS18">
        <v>13393.86</v>
      </c>
      <c r="AU18">
        <v>0</v>
      </c>
      <c r="AV18">
        <v>0</v>
      </c>
      <c r="AW18">
        <v>0</v>
      </c>
      <c r="AX18">
        <v>13393.86</v>
      </c>
      <c r="AY18">
        <v>744.10333333333256</v>
      </c>
      <c r="AZ18">
        <v>0</v>
      </c>
      <c r="BC18">
        <v>-12649.756666666668</v>
      </c>
      <c r="BE18" t="s">
        <v>114</v>
      </c>
      <c r="BH18">
        <v>-744.10333333333256</v>
      </c>
      <c r="BI18">
        <v>-62.008611111111044</v>
      </c>
      <c r="BK18" t="s">
        <v>116</v>
      </c>
      <c r="BL18">
        <v>0</v>
      </c>
      <c r="BM18">
        <v>-13393.86</v>
      </c>
      <c r="BR18">
        <v>0</v>
      </c>
      <c r="BS18">
        <v>0</v>
      </c>
      <c r="BW18" t="s">
        <v>167</v>
      </c>
      <c r="BX18" t="s">
        <v>168</v>
      </c>
      <c r="BZ18" t="s">
        <v>938</v>
      </c>
    </row>
    <row r="19" spans="1:78">
      <c r="A19" t="s">
        <v>193</v>
      </c>
      <c r="B19" t="s">
        <v>863</v>
      </c>
      <c r="C19" t="s">
        <v>54</v>
      </c>
      <c r="D19" t="s">
        <v>1</v>
      </c>
      <c r="E19" t="s">
        <v>115</v>
      </c>
      <c r="F19" t="s">
        <v>99</v>
      </c>
      <c r="G19" t="s">
        <v>100</v>
      </c>
      <c r="H19" t="s">
        <v>128</v>
      </c>
      <c r="I19" t="s">
        <v>100</v>
      </c>
      <c r="J19" t="s">
        <v>101</v>
      </c>
      <c r="K19" t="s">
        <v>559</v>
      </c>
      <c r="L19" t="s">
        <v>559</v>
      </c>
      <c r="M19" t="s">
        <v>100</v>
      </c>
      <c r="N19" t="s">
        <v>427</v>
      </c>
      <c r="O19" t="s">
        <v>100</v>
      </c>
      <c r="Q19" t="s">
        <v>427</v>
      </c>
      <c r="R19" t="s">
        <v>119</v>
      </c>
      <c r="S19" t="s">
        <v>130</v>
      </c>
      <c r="T19" t="s">
        <v>120</v>
      </c>
      <c r="U19" t="s">
        <v>101</v>
      </c>
      <c r="V19" t="s">
        <v>121</v>
      </c>
      <c r="W19" t="s">
        <v>122</v>
      </c>
      <c r="X19" t="s">
        <v>123</v>
      </c>
      <c r="Y19">
        <v>1</v>
      </c>
      <c r="Z19" t="s">
        <v>561</v>
      </c>
      <c r="AA19" s="280">
        <v>38071</v>
      </c>
      <c r="AB19" t="s">
        <v>114</v>
      </c>
      <c r="AC19" t="s">
        <v>124</v>
      </c>
      <c r="AD19" s="280">
        <v>44651</v>
      </c>
      <c r="AE19" t="s">
        <v>125</v>
      </c>
      <c r="AF19">
        <v>6</v>
      </c>
      <c r="AG19">
        <v>0</v>
      </c>
      <c r="AH19">
        <v>0</v>
      </c>
      <c r="AI19" t="s">
        <v>126</v>
      </c>
      <c r="AL19">
        <v>1</v>
      </c>
      <c r="AN19">
        <v>1</v>
      </c>
      <c r="AO19">
        <v>0</v>
      </c>
      <c r="AP19" t="s">
        <v>1050</v>
      </c>
      <c r="AR19" t="s">
        <v>127</v>
      </c>
      <c r="AS19">
        <v>3780.24</v>
      </c>
      <c r="AU19">
        <v>0</v>
      </c>
      <c r="AV19">
        <v>0</v>
      </c>
      <c r="AW19">
        <v>0</v>
      </c>
      <c r="AX19">
        <v>3780.24</v>
      </c>
      <c r="AY19">
        <v>210.01333333333332</v>
      </c>
      <c r="AZ19">
        <v>0</v>
      </c>
      <c r="BC19">
        <v>-3570.2266666666665</v>
      </c>
      <c r="BE19" t="s">
        <v>114</v>
      </c>
      <c r="BH19">
        <v>-210.01333333333332</v>
      </c>
      <c r="BI19">
        <v>-17.501111111111111</v>
      </c>
      <c r="BK19" t="s">
        <v>116</v>
      </c>
      <c r="BL19">
        <v>0</v>
      </c>
      <c r="BM19">
        <v>-3780.24</v>
      </c>
      <c r="BR19">
        <v>0</v>
      </c>
      <c r="BS19">
        <v>0</v>
      </c>
      <c r="BW19" t="s">
        <v>167</v>
      </c>
      <c r="BX19" t="s">
        <v>168</v>
      </c>
      <c r="BZ19" t="s">
        <v>947</v>
      </c>
    </row>
    <row r="20" spans="1:78">
      <c r="A20" t="s">
        <v>194</v>
      </c>
      <c r="B20" t="s">
        <v>856</v>
      </c>
      <c r="C20" t="s">
        <v>54</v>
      </c>
      <c r="D20" t="s">
        <v>1</v>
      </c>
      <c r="E20" t="s">
        <v>115</v>
      </c>
      <c r="F20" t="s">
        <v>99</v>
      </c>
      <c r="G20" t="s">
        <v>100</v>
      </c>
      <c r="H20" t="s">
        <v>128</v>
      </c>
      <c r="I20" t="s">
        <v>100</v>
      </c>
      <c r="J20" t="s">
        <v>101</v>
      </c>
      <c r="K20" t="s">
        <v>559</v>
      </c>
      <c r="L20" t="s">
        <v>559</v>
      </c>
      <c r="M20" t="s">
        <v>100</v>
      </c>
      <c r="N20" t="s">
        <v>437</v>
      </c>
      <c r="O20" t="s">
        <v>100</v>
      </c>
      <c r="Q20" t="s">
        <v>437</v>
      </c>
      <c r="R20" t="s">
        <v>119</v>
      </c>
      <c r="S20" t="s">
        <v>130</v>
      </c>
      <c r="T20" t="s">
        <v>120</v>
      </c>
      <c r="U20" t="s">
        <v>101</v>
      </c>
      <c r="V20" t="s">
        <v>121</v>
      </c>
      <c r="W20" t="s">
        <v>122</v>
      </c>
      <c r="X20" t="s">
        <v>123</v>
      </c>
      <c r="Y20">
        <v>1</v>
      </c>
      <c r="Z20" t="s">
        <v>561</v>
      </c>
      <c r="AA20" s="280">
        <v>38071</v>
      </c>
      <c r="AB20" t="s">
        <v>114</v>
      </c>
      <c r="AC20" t="s">
        <v>124</v>
      </c>
      <c r="AD20" s="280">
        <v>44651</v>
      </c>
      <c r="AE20" t="s">
        <v>125</v>
      </c>
      <c r="AF20">
        <v>6</v>
      </c>
      <c r="AG20">
        <v>0</v>
      </c>
      <c r="AH20">
        <v>0</v>
      </c>
      <c r="AI20" t="s">
        <v>126</v>
      </c>
      <c r="AL20">
        <v>1</v>
      </c>
      <c r="AN20">
        <v>1</v>
      </c>
      <c r="AO20">
        <v>0</v>
      </c>
      <c r="AP20" t="s">
        <v>1051</v>
      </c>
      <c r="AR20" t="s">
        <v>127</v>
      </c>
      <c r="AS20">
        <v>5120.88</v>
      </c>
      <c r="AU20">
        <v>0</v>
      </c>
      <c r="AV20">
        <v>0</v>
      </c>
      <c r="AW20">
        <v>0</v>
      </c>
      <c r="AX20">
        <v>5120.88</v>
      </c>
      <c r="AY20">
        <v>284.49333333333288</v>
      </c>
      <c r="AZ20">
        <v>0</v>
      </c>
      <c r="BC20">
        <v>-4836.3866666666672</v>
      </c>
      <c r="BE20" t="s">
        <v>114</v>
      </c>
      <c r="BH20">
        <v>-284.49333333333288</v>
      </c>
      <c r="BI20">
        <v>-23.707777777777739</v>
      </c>
      <c r="BK20" t="s">
        <v>116</v>
      </c>
      <c r="BL20">
        <v>0</v>
      </c>
      <c r="BM20">
        <v>-5120.88</v>
      </c>
      <c r="BR20">
        <v>0</v>
      </c>
      <c r="BS20">
        <v>0</v>
      </c>
      <c r="BW20" t="s">
        <v>167</v>
      </c>
      <c r="BX20" t="s">
        <v>168</v>
      </c>
      <c r="BZ20" t="s">
        <v>940</v>
      </c>
    </row>
    <row r="21" spans="1:78">
      <c r="A21" t="s">
        <v>195</v>
      </c>
      <c r="B21" t="s">
        <v>864</v>
      </c>
      <c r="C21" t="s">
        <v>54</v>
      </c>
      <c r="D21" t="s">
        <v>1</v>
      </c>
      <c r="E21" t="s">
        <v>115</v>
      </c>
      <c r="F21" t="s">
        <v>99</v>
      </c>
      <c r="G21" t="s">
        <v>100</v>
      </c>
      <c r="H21" t="s">
        <v>128</v>
      </c>
      <c r="I21" t="s">
        <v>100</v>
      </c>
      <c r="J21" t="s">
        <v>101</v>
      </c>
      <c r="K21" t="s">
        <v>559</v>
      </c>
      <c r="L21" t="s">
        <v>559</v>
      </c>
      <c r="M21" t="s">
        <v>100</v>
      </c>
      <c r="N21" t="s">
        <v>438</v>
      </c>
      <c r="O21" t="s">
        <v>100</v>
      </c>
      <c r="Q21" t="s">
        <v>438</v>
      </c>
      <c r="R21" t="s">
        <v>119</v>
      </c>
      <c r="S21" t="s">
        <v>130</v>
      </c>
      <c r="T21" t="s">
        <v>120</v>
      </c>
      <c r="U21" t="s">
        <v>101</v>
      </c>
      <c r="V21" t="s">
        <v>121</v>
      </c>
      <c r="W21" t="s">
        <v>122</v>
      </c>
      <c r="X21" t="s">
        <v>123</v>
      </c>
      <c r="Y21">
        <v>1</v>
      </c>
      <c r="Z21" t="s">
        <v>561</v>
      </c>
      <c r="AA21" s="280">
        <v>38071</v>
      </c>
      <c r="AB21" t="s">
        <v>114</v>
      </c>
      <c r="AC21" t="s">
        <v>124</v>
      </c>
      <c r="AD21" s="280">
        <v>44651</v>
      </c>
      <c r="AE21" t="s">
        <v>125</v>
      </c>
      <c r="AF21">
        <v>6</v>
      </c>
      <c r="AG21">
        <v>0</v>
      </c>
      <c r="AH21">
        <v>0</v>
      </c>
      <c r="AI21" t="s">
        <v>126</v>
      </c>
      <c r="AL21">
        <v>1</v>
      </c>
      <c r="AN21">
        <v>1</v>
      </c>
      <c r="AO21">
        <v>0</v>
      </c>
      <c r="AP21" t="s">
        <v>1050</v>
      </c>
      <c r="AR21" t="s">
        <v>127</v>
      </c>
      <c r="AS21">
        <v>18910.32</v>
      </c>
      <c r="AU21">
        <v>0</v>
      </c>
      <c r="AV21">
        <v>0</v>
      </c>
      <c r="AW21">
        <v>0</v>
      </c>
      <c r="AX21">
        <v>18910.32</v>
      </c>
      <c r="AY21">
        <v>1050.5733333333337</v>
      </c>
      <c r="AZ21">
        <v>0</v>
      </c>
      <c r="BC21">
        <v>-17859.746666666666</v>
      </c>
      <c r="BE21" t="s">
        <v>114</v>
      </c>
      <c r="BH21">
        <v>-1050.5733333333337</v>
      </c>
      <c r="BI21">
        <v>-87.54777777777781</v>
      </c>
      <c r="BK21" t="s">
        <v>116</v>
      </c>
      <c r="BL21">
        <v>0</v>
      </c>
      <c r="BM21">
        <v>-18910.32</v>
      </c>
      <c r="BR21">
        <v>0</v>
      </c>
      <c r="BS21">
        <v>0</v>
      </c>
      <c r="BW21" t="s">
        <v>167</v>
      </c>
      <c r="BX21" t="s">
        <v>168</v>
      </c>
      <c r="BZ21" t="s">
        <v>948</v>
      </c>
    </row>
    <row r="22" spans="1:78">
      <c r="A22" t="s">
        <v>196</v>
      </c>
      <c r="B22" t="s">
        <v>851</v>
      </c>
      <c r="C22" t="s">
        <v>54</v>
      </c>
      <c r="D22" t="s">
        <v>1</v>
      </c>
      <c r="E22" t="s">
        <v>115</v>
      </c>
      <c r="F22" t="s">
        <v>99</v>
      </c>
      <c r="G22" t="s">
        <v>100</v>
      </c>
      <c r="H22" t="s">
        <v>128</v>
      </c>
      <c r="I22" t="s">
        <v>100</v>
      </c>
      <c r="J22" t="s">
        <v>101</v>
      </c>
      <c r="K22" t="s">
        <v>559</v>
      </c>
      <c r="L22" t="s">
        <v>559</v>
      </c>
      <c r="M22" t="s">
        <v>100</v>
      </c>
      <c r="N22" t="s">
        <v>439</v>
      </c>
      <c r="O22" t="s">
        <v>100</v>
      </c>
      <c r="Q22" t="s">
        <v>439</v>
      </c>
      <c r="R22" t="s">
        <v>119</v>
      </c>
      <c r="S22" t="s">
        <v>130</v>
      </c>
      <c r="T22" t="s">
        <v>120</v>
      </c>
      <c r="U22" t="s">
        <v>101</v>
      </c>
      <c r="V22" t="s">
        <v>121</v>
      </c>
      <c r="W22" t="s">
        <v>122</v>
      </c>
      <c r="X22" t="s">
        <v>123</v>
      </c>
      <c r="Y22">
        <v>1</v>
      </c>
      <c r="Z22" t="s">
        <v>561</v>
      </c>
      <c r="AA22" s="280">
        <v>38071</v>
      </c>
      <c r="AB22" t="s">
        <v>114</v>
      </c>
      <c r="AC22" t="s">
        <v>124</v>
      </c>
      <c r="AD22" s="280">
        <v>44651</v>
      </c>
      <c r="AE22" t="s">
        <v>125</v>
      </c>
      <c r="AF22">
        <v>6</v>
      </c>
      <c r="AG22">
        <v>0</v>
      </c>
      <c r="AH22">
        <v>0</v>
      </c>
      <c r="AI22" t="s">
        <v>126</v>
      </c>
      <c r="AL22">
        <v>1</v>
      </c>
      <c r="AN22">
        <v>1</v>
      </c>
      <c r="AO22">
        <v>0</v>
      </c>
      <c r="AP22" t="s">
        <v>1050</v>
      </c>
      <c r="AR22" t="s">
        <v>127</v>
      </c>
      <c r="AS22">
        <v>4407.24</v>
      </c>
      <c r="AU22">
        <v>0</v>
      </c>
      <c r="AV22">
        <v>0</v>
      </c>
      <c r="AW22">
        <v>0</v>
      </c>
      <c r="AX22">
        <v>4407.24</v>
      </c>
      <c r="AY22">
        <v>244.84666666666635</v>
      </c>
      <c r="AZ22">
        <v>0</v>
      </c>
      <c r="BC22">
        <v>-4162.3933333333334</v>
      </c>
      <c r="BE22" t="s">
        <v>114</v>
      </c>
      <c r="BH22">
        <v>-244.84666666666635</v>
      </c>
      <c r="BI22">
        <v>-20.403888888888861</v>
      </c>
      <c r="BK22" t="s">
        <v>116</v>
      </c>
      <c r="BL22">
        <v>0</v>
      </c>
      <c r="BM22">
        <v>-4407.24</v>
      </c>
      <c r="BR22">
        <v>0</v>
      </c>
      <c r="BS22">
        <v>0</v>
      </c>
      <c r="BW22" t="s">
        <v>167</v>
      </c>
      <c r="BX22" t="s">
        <v>168</v>
      </c>
      <c r="BZ22" t="s">
        <v>949</v>
      </c>
    </row>
    <row r="23" spans="1:78">
      <c r="A23" t="s">
        <v>197</v>
      </c>
      <c r="B23" t="s">
        <v>864</v>
      </c>
      <c r="C23" t="s">
        <v>54</v>
      </c>
      <c r="D23" t="s">
        <v>1</v>
      </c>
      <c r="E23" t="s">
        <v>115</v>
      </c>
      <c r="F23" t="s">
        <v>99</v>
      </c>
      <c r="G23" t="s">
        <v>100</v>
      </c>
      <c r="H23" t="s">
        <v>128</v>
      </c>
      <c r="I23" t="s">
        <v>100</v>
      </c>
      <c r="J23" t="s">
        <v>101</v>
      </c>
      <c r="K23" t="s">
        <v>559</v>
      </c>
      <c r="L23" t="s">
        <v>559</v>
      </c>
      <c r="M23" t="s">
        <v>100</v>
      </c>
      <c r="N23" t="s">
        <v>440</v>
      </c>
      <c r="O23" t="s">
        <v>100</v>
      </c>
      <c r="Q23" t="s">
        <v>440</v>
      </c>
      <c r="R23" t="s">
        <v>119</v>
      </c>
      <c r="S23" t="s">
        <v>130</v>
      </c>
      <c r="T23" t="s">
        <v>120</v>
      </c>
      <c r="U23" t="s">
        <v>101</v>
      </c>
      <c r="V23" t="s">
        <v>121</v>
      </c>
      <c r="W23" t="s">
        <v>122</v>
      </c>
      <c r="X23" t="s">
        <v>123</v>
      </c>
      <c r="Y23">
        <v>1</v>
      </c>
      <c r="Z23" t="s">
        <v>561</v>
      </c>
      <c r="AA23" s="280">
        <v>38071</v>
      </c>
      <c r="AB23" t="s">
        <v>114</v>
      </c>
      <c r="AC23" t="s">
        <v>124</v>
      </c>
      <c r="AD23" s="280">
        <v>44651</v>
      </c>
      <c r="AE23" t="s">
        <v>125</v>
      </c>
      <c r="AF23">
        <v>6</v>
      </c>
      <c r="AG23">
        <v>0</v>
      </c>
      <c r="AH23">
        <v>0</v>
      </c>
      <c r="AI23" t="s">
        <v>126</v>
      </c>
      <c r="AL23">
        <v>1</v>
      </c>
      <c r="AN23">
        <v>1</v>
      </c>
      <c r="AO23">
        <v>0</v>
      </c>
      <c r="AP23" t="s">
        <v>1050</v>
      </c>
      <c r="AR23" t="s">
        <v>127</v>
      </c>
      <c r="AS23">
        <v>13866.96</v>
      </c>
      <c r="AU23">
        <v>0</v>
      </c>
      <c r="AV23">
        <v>0</v>
      </c>
      <c r="AW23">
        <v>0</v>
      </c>
      <c r="AX23">
        <v>13866.96</v>
      </c>
      <c r="AY23">
        <v>770.38666666666541</v>
      </c>
      <c r="AZ23">
        <v>0</v>
      </c>
      <c r="BC23">
        <v>-13096.573333333334</v>
      </c>
      <c r="BE23" t="s">
        <v>114</v>
      </c>
      <c r="BH23">
        <v>-770.38666666666541</v>
      </c>
      <c r="BI23">
        <v>-64.198888888888789</v>
      </c>
      <c r="BK23" t="s">
        <v>116</v>
      </c>
      <c r="BL23">
        <v>0</v>
      </c>
      <c r="BM23">
        <v>-13866.96</v>
      </c>
      <c r="BR23">
        <v>0</v>
      </c>
      <c r="BS23">
        <v>0</v>
      </c>
      <c r="BW23" t="s">
        <v>167</v>
      </c>
      <c r="BX23" t="s">
        <v>168</v>
      </c>
      <c r="BZ23" t="s">
        <v>948</v>
      </c>
    </row>
    <row r="24" spans="1:78">
      <c r="A24" t="s">
        <v>198</v>
      </c>
      <c r="B24" t="s">
        <v>865</v>
      </c>
      <c r="C24" t="s">
        <v>54</v>
      </c>
      <c r="D24" t="s">
        <v>1</v>
      </c>
      <c r="E24" t="s">
        <v>115</v>
      </c>
      <c r="F24" t="s">
        <v>99</v>
      </c>
      <c r="G24" t="s">
        <v>100</v>
      </c>
      <c r="H24" t="s">
        <v>128</v>
      </c>
      <c r="I24" t="s">
        <v>100</v>
      </c>
      <c r="J24" t="s">
        <v>101</v>
      </c>
      <c r="K24" t="s">
        <v>559</v>
      </c>
      <c r="L24" t="s">
        <v>559</v>
      </c>
      <c r="M24" t="s">
        <v>100</v>
      </c>
      <c r="N24" t="s">
        <v>441</v>
      </c>
      <c r="O24" t="s">
        <v>100</v>
      </c>
      <c r="Q24" t="s">
        <v>441</v>
      </c>
      <c r="R24" t="s">
        <v>119</v>
      </c>
      <c r="S24" t="s">
        <v>130</v>
      </c>
      <c r="T24" t="s">
        <v>120</v>
      </c>
      <c r="U24" t="s">
        <v>101</v>
      </c>
      <c r="V24" t="s">
        <v>121</v>
      </c>
      <c r="W24" t="s">
        <v>122</v>
      </c>
      <c r="X24" t="s">
        <v>123</v>
      </c>
      <c r="Y24">
        <v>1</v>
      </c>
      <c r="Z24" t="s">
        <v>561</v>
      </c>
      <c r="AA24" s="280">
        <v>38071</v>
      </c>
      <c r="AB24" t="s">
        <v>114</v>
      </c>
      <c r="AC24" t="s">
        <v>124</v>
      </c>
      <c r="AD24" s="280">
        <v>44651</v>
      </c>
      <c r="AE24" t="s">
        <v>125</v>
      </c>
      <c r="AF24">
        <v>6</v>
      </c>
      <c r="AG24">
        <v>0</v>
      </c>
      <c r="AH24">
        <v>0</v>
      </c>
      <c r="AI24" t="s">
        <v>126</v>
      </c>
      <c r="AL24">
        <v>1</v>
      </c>
      <c r="AN24">
        <v>1</v>
      </c>
      <c r="AO24">
        <v>0</v>
      </c>
      <c r="AP24" t="s">
        <v>1050</v>
      </c>
      <c r="AR24" t="s">
        <v>127</v>
      </c>
      <c r="AS24">
        <v>8980.92</v>
      </c>
      <c r="AU24">
        <v>0</v>
      </c>
      <c r="AV24">
        <v>0</v>
      </c>
      <c r="AW24">
        <v>0</v>
      </c>
      <c r="AX24">
        <v>8980.92</v>
      </c>
      <c r="AY24">
        <v>498.94000000000051</v>
      </c>
      <c r="AZ24">
        <v>0</v>
      </c>
      <c r="BC24">
        <v>-8481.98</v>
      </c>
      <c r="BE24" t="s">
        <v>114</v>
      </c>
      <c r="BH24">
        <v>-498.94000000000051</v>
      </c>
      <c r="BI24">
        <v>-41.578333333333376</v>
      </c>
      <c r="BK24" t="s">
        <v>116</v>
      </c>
      <c r="BL24">
        <v>0</v>
      </c>
      <c r="BM24">
        <v>-8980.92</v>
      </c>
      <c r="BR24">
        <v>0</v>
      </c>
      <c r="BS24">
        <v>0</v>
      </c>
      <c r="BW24" t="s">
        <v>167</v>
      </c>
      <c r="BX24" t="s">
        <v>168</v>
      </c>
      <c r="BZ24" t="s">
        <v>938</v>
      </c>
    </row>
    <row r="25" spans="1:78">
      <c r="A25" t="s">
        <v>199</v>
      </c>
      <c r="B25" t="s">
        <v>856</v>
      </c>
      <c r="C25" t="s">
        <v>54</v>
      </c>
      <c r="D25" t="s">
        <v>1</v>
      </c>
      <c r="E25" t="s">
        <v>115</v>
      </c>
      <c r="F25" t="s">
        <v>99</v>
      </c>
      <c r="G25" t="s">
        <v>100</v>
      </c>
      <c r="H25" t="s">
        <v>128</v>
      </c>
      <c r="I25" t="s">
        <v>100</v>
      </c>
      <c r="J25" t="s">
        <v>101</v>
      </c>
      <c r="K25" t="s">
        <v>559</v>
      </c>
      <c r="L25" t="s">
        <v>559</v>
      </c>
      <c r="M25" t="s">
        <v>100</v>
      </c>
      <c r="N25" t="s">
        <v>437</v>
      </c>
      <c r="O25" t="s">
        <v>100</v>
      </c>
      <c r="Q25" t="s">
        <v>437</v>
      </c>
      <c r="R25" t="s">
        <v>119</v>
      </c>
      <c r="S25" t="s">
        <v>130</v>
      </c>
      <c r="T25" t="s">
        <v>120</v>
      </c>
      <c r="U25" t="s">
        <v>101</v>
      </c>
      <c r="V25" t="s">
        <v>121</v>
      </c>
      <c r="W25" t="s">
        <v>122</v>
      </c>
      <c r="X25" t="s">
        <v>123</v>
      </c>
      <c r="Y25">
        <v>1</v>
      </c>
      <c r="Z25" t="s">
        <v>561</v>
      </c>
      <c r="AA25" s="280">
        <v>38071</v>
      </c>
      <c r="AB25" t="s">
        <v>114</v>
      </c>
      <c r="AC25" t="s">
        <v>124</v>
      </c>
      <c r="AD25" s="280">
        <v>44651</v>
      </c>
      <c r="AE25" t="s">
        <v>125</v>
      </c>
      <c r="AF25">
        <v>6</v>
      </c>
      <c r="AG25">
        <v>0</v>
      </c>
      <c r="AH25">
        <v>0</v>
      </c>
      <c r="AI25" t="s">
        <v>126</v>
      </c>
      <c r="AL25">
        <v>1</v>
      </c>
      <c r="AN25">
        <v>1</v>
      </c>
      <c r="AO25">
        <v>0</v>
      </c>
      <c r="AP25" t="s">
        <v>1051</v>
      </c>
      <c r="AR25" t="s">
        <v>127</v>
      </c>
      <c r="AS25">
        <v>5120.88</v>
      </c>
      <c r="AU25">
        <v>0</v>
      </c>
      <c r="AV25">
        <v>0</v>
      </c>
      <c r="AW25">
        <v>0</v>
      </c>
      <c r="AX25">
        <v>5120.88</v>
      </c>
      <c r="AY25">
        <v>284.49333333333288</v>
      </c>
      <c r="AZ25">
        <v>0</v>
      </c>
      <c r="BC25">
        <v>-4836.3866666666672</v>
      </c>
      <c r="BE25" t="s">
        <v>114</v>
      </c>
      <c r="BH25">
        <v>-284.49333333333288</v>
      </c>
      <c r="BI25">
        <v>-23.707777777777739</v>
      </c>
      <c r="BK25" t="s">
        <v>116</v>
      </c>
      <c r="BL25">
        <v>0</v>
      </c>
      <c r="BM25">
        <v>-5120.88</v>
      </c>
      <c r="BR25">
        <v>0</v>
      </c>
      <c r="BS25">
        <v>0</v>
      </c>
      <c r="BW25" t="s">
        <v>167</v>
      </c>
      <c r="BX25" t="s">
        <v>168</v>
      </c>
      <c r="BZ25" t="s">
        <v>940</v>
      </c>
    </row>
    <row r="26" spans="1:78">
      <c r="A26" t="s">
        <v>200</v>
      </c>
      <c r="B26" t="s">
        <v>856</v>
      </c>
      <c r="C26" t="s">
        <v>54</v>
      </c>
      <c r="D26" t="s">
        <v>1</v>
      </c>
      <c r="E26" t="s">
        <v>115</v>
      </c>
      <c r="F26" t="s">
        <v>99</v>
      </c>
      <c r="G26" t="s">
        <v>100</v>
      </c>
      <c r="H26" t="s">
        <v>128</v>
      </c>
      <c r="I26" t="s">
        <v>100</v>
      </c>
      <c r="J26" t="s">
        <v>101</v>
      </c>
      <c r="K26" t="s">
        <v>559</v>
      </c>
      <c r="L26" t="s">
        <v>559</v>
      </c>
      <c r="M26" t="s">
        <v>100</v>
      </c>
      <c r="N26" t="s">
        <v>437</v>
      </c>
      <c r="O26" t="s">
        <v>100</v>
      </c>
      <c r="Q26" t="s">
        <v>437</v>
      </c>
      <c r="R26" t="s">
        <v>119</v>
      </c>
      <c r="S26" t="s">
        <v>130</v>
      </c>
      <c r="T26" t="s">
        <v>120</v>
      </c>
      <c r="U26" t="s">
        <v>101</v>
      </c>
      <c r="V26" t="s">
        <v>121</v>
      </c>
      <c r="W26" t="s">
        <v>122</v>
      </c>
      <c r="X26" t="s">
        <v>123</v>
      </c>
      <c r="Y26">
        <v>1</v>
      </c>
      <c r="Z26" t="s">
        <v>561</v>
      </c>
      <c r="AA26" s="280">
        <v>38071</v>
      </c>
      <c r="AB26" t="s">
        <v>114</v>
      </c>
      <c r="AC26" t="s">
        <v>124</v>
      </c>
      <c r="AD26" s="280">
        <v>44651</v>
      </c>
      <c r="AE26" t="s">
        <v>125</v>
      </c>
      <c r="AF26">
        <v>6</v>
      </c>
      <c r="AG26">
        <v>0</v>
      </c>
      <c r="AH26">
        <v>0</v>
      </c>
      <c r="AI26" t="s">
        <v>126</v>
      </c>
      <c r="AL26">
        <v>1</v>
      </c>
      <c r="AN26">
        <v>1</v>
      </c>
      <c r="AO26">
        <v>0</v>
      </c>
      <c r="AP26" t="s">
        <v>1051</v>
      </c>
      <c r="AR26" t="s">
        <v>127</v>
      </c>
      <c r="AS26">
        <v>5120.88</v>
      </c>
      <c r="AU26">
        <v>0</v>
      </c>
      <c r="AV26">
        <v>0</v>
      </c>
      <c r="AW26">
        <v>0</v>
      </c>
      <c r="AX26">
        <v>5120.88</v>
      </c>
      <c r="AY26">
        <v>284.49333333333288</v>
      </c>
      <c r="AZ26">
        <v>0</v>
      </c>
      <c r="BC26">
        <v>-4836.3866666666672</v>
      </c>
      <c r="BE26" t="s">
        <v>114</v>
      </c>
      <c r="BH26">
        <v>-284.49333333333288</v>
      </c>
      <c r="BI26">
        <v>-23.707777777777739</v>
      </c>
      <c r="BK26" t="s">
        <v>116</v>
      </c>
      <c r="BL26">
        <v>0</v>
      </c>
      <c r="BM26">
        <v>-5120.88</v>
      </c>
      <c r="BR26">
        <v>0</v>
      </c>
      <c r="BS26">
        <v>0</v>
      </c>
      <c r="BW26" t="s">
        <v>167</v>
      </c>
      <c r="BX26" t="s">
        <v>168</v>
      </c>
      <c r="BZ26" t="s">
        <v>940</v>
      </c>
    </row>
    <row r="27" spans="1:78">
      <c r="A27" t="s">
        <v>201</v>
      </c>
      <c r="B27">
        <v>0</v>
      </c>
      <c r="C27" t="s">
        <v>54</v>
      </c>
      <c r="D27" t="s">
        <v>1</v>
      </c>
      <c r="E27" t="s">
        <v>115</v>
      </c>
      <c r="F27" t="s">
        <v>99</v>
      </c>
      <c r="G27" t="s">
        <v>100</v>
      </c>
      <c r="H27" t="s">
        <v>128</v>
      </c>
      <c r="I27" t="s">
        <v>100</v>
      </c>
      <c r="J27" t="s">
        <v>101</v>
      </c>
      <c r="K27" t="s">
        <v>559</v>
      </c>
      <c r="L27" t="s">
        <v>559</v>
      </c>
      <c r="M27" t="s">
        <v>100</v>
      </c>
      <c r="N27" t="s">
        <v>426</v>
      </c>
      <c r="O27" t="s">
        <v>100</v>
      </c>
      <c r="Q27" t="s">
        <v>426</v>
      </c>
      <c r="R27" t="s">
        <v>119</v>
      </c>
      <c r="S27" t="s">
        <v>130</v>
      </c>
      <c r="T27" t="s">
        <v>120</v>
      </c>
      <c r="U27" t="s">
        <v>101</v>
      </c>
      <c r="V27" t="s">
        <v>121</v>
      </c>
      <c r="W27" t="s">
        <v>122</v>
      </c>
      <c r="X27" t="s">
        <v>123</v>
      </c>
      <c r="Y27">
        <v>1</v>
      </c>
      <c r="Z27" t="s">
        <v>561</v>
      </c>
      <c r="AA27" s="280">
        <v>38071</v>
      </c>
      <c r="AB27" t="s">
        <v>114</v>
      </c>
      <c r="AC27" t="s">
        <v>124</v>
      </c>
      <c r="AD27" s="280">
        <v>44651</v>
      </c>
      <c r="AE27" t="s">
        <v>125</v>
      </c>
      <c r="AF27">
        <v>6</v>
      </c>
      <c r="AG27">
        <v>0</v>
      </c>
      <c r="AH27">
        <v>0</v>
      </c>
      <c r="AI27" t="s">
        <v>126</v>
      </c>
      <c r="AL27">
        <v>1</v>
      </c>
      <c r="AN27">
        <v>1</v>
      </c>
      <c r="AO27">
        <v>0</v>
      </c>
      <c r="AP27">
        <v>0</v>
      </c>
      <c r="AR27" t="s">
        <v>127</v>
      </c>
      <c r="AS27">
        <v>12920.76</v>
      </c>
      <c r="AU27">
        <v>0</v>
      </c>
      <c r="AV27">
        <v>0</v>
      </c>
      <c r="AW27">
        <v>0</v>
      </c>
      <c r="AX27">
        <v>12920.76</v>
      </c>
      <c r="AY27">
        <v>717.82000000000153</v>
      </c>
      <c r="AZ27">
        <v>0</v>
      </c>
      <c r="BC27">
        <v>-12202.939999999999</v>
      </c>
      <c r="BE27" t="s">
        <v>114</v>
      </c>
      <c r="BH27">
        <v>-717.82000000000153</v>
      </c>
      <c r="BI27">
        <v>-59.818333333333463</v>
      </c>
      <c r="BK27" t="s">
        <v>116</v>
      </c>
      <c r="BL27">
        <v>0</v>
      </c>
      <c r="BM27">
        <v>-12920.76</v>
      </c>
      <c r="BR27">
        <v>0</v>
      </c>
      <c r="BS27">
        <v>0</v>
      </c>
      <c r="BW27" t="s">
        <v>167</v>
      </c>
      <c r="BX27" t="s">
        <v>168</v>
      </c>
      <c r="BZ27">
        <v>0</v>
      </c>
    </row>
    <row r="28" spans="1:78">
      <c r="A28" t="s">
        <v>202</v>
      </c>
      <c r="B28" t="s">
        <v>866</v>
      </c>
      <c r="C28" t="s">
        <v>54</v>
      </c>
      <c r="D28" t="s">
        <v>1</v>
      </c>
      <c r="E28" t="s">
        <v>115</v>
      </c>
      <c r="F28" t="s">
        <v>99</v>
      </c>
      <c r="G28" t="s">
        <v>100</v>
      </c>
      <c r="H28" t="s">
        <v>128</v>
      </c>
      <c r="I28" t="s">
        <v>100</v>
      </c>
      <c r="J28" t="s">
        <v>101</v>
      </c>
      <c r="K28" t="s">
        <v>559</v>
      </c>
      <c r="L28" t="s">
        <v>559</v>
      </c>
      <c r="M28" t="s">
        <v>100</v>
      </c>
      <c r="N28" t="s">
        <v>445</v>
      </c>
      <c r="O28" t="s">
        <v>100</v>
      </c>
      <c r="Q28" t="s">
        <v>445</v>
      </c>
      <c r="R28" t="s">
        <v>119</v>
      </c>
      <c r="S28" t="s">
        <v>130</v>
      </c>
      <c r="T28" t="s">
        <v>120</v>
      </c>
      <c r="U28" t="s">
        <v>101</v>
      </c>
      <c r="V28" t="s">
        <v>121</v>
      </c>
      <c r="W28" t="s">
        <v>122</v>
      </c>
      <c r="X28" t="s">
        <v>123</v>
      </c>
      <c r="Y28">
        <v>1</v>
      </c>
      <c r="Z28" t="s">
        <v>561</v>
      </c>
      <c r="AA28" s="280">
        <v>38071</v>
      </c>
      <c r="AB28" t="s">
        <v>114</v>
      </c>
      <c r="AC28" t="s">
        <v>124</v>
      </c>
      <c r="AD28" s="280">
        <v>44651</v>
      </c>
      <c r="AE28" t="s">
        <v>125</v>
      </c>
      <c r="AF28">
        <v>6</v>
      </c>
      <c r="AG28">
        <v>0</v>
      </c>
      <c r="AH28">
        <v>0</v>
      </c>
      <c r="AI28" t="s">
        <v>126</v>
      </c>
      <c r="AL28">
        <v>1</v>
      </c>
      <c r="AN28">
        <v>1</v>
      </c>
      <c r="AO28">
        <v>0</v>
      </c>
      <c r="AP28" t="s">
        <v>1050</v>
      </c>
      <c r="AR28" t="s">
        <v>127</v>
      </c>
      <c r="AS28">
        <v>13393.86</v>
      </c>
      <c r="AU28">
        <v>0</v>
      </c>
      <c r="AV28">
        <v>0</v>
      </c>
      <c r="AW28">
        <v>0</v>
      </c>
      <c r="AX28">
        <v>13393.86</v>
      </c>
      <c r="AY28">
        <v>744.10333333333256</v>
      </c>
      <c r="AZ28">
        <v>0</v>
      </c>
      <c r="BC28">
        <v>-12649.756666666668</v>
      </c>
      <c r="BE28" t="s">
        <v>114</v>
      </c>
      <c r="BH28">
        <v>-744.10333333333256</v>
      </c>
      <c r="BI28">
        <v>-62.008611111111044</v>
      </c>
      <c r="BK28" t="s">
        <v>116</v>
      </c>
      <c r="BL28">
        <v>0</v>
      </c>
      <c r="BM28">
        <v>-13393.86</v>
      </c>
      <c r="BR28">
        <v>0</v>
      </c>
      <c r="BS28">
        <v>0</v>
      </c>
      <c r="BW28" t="s">
        <v>167</v>
      </c>
      <c r="BX28" t="s">
        <v>168</v>
      </c>
      <c r="BZ28" t="s">
        <v>950</v>
      </c>
    </row>
    <row r="29" spans="1:78">
      <c r="A29" t="s">
        <v>203</v>
      </c>
      <c r="B29" t="s">
        <v>867</v>
      </c>
      <c r="C29" t="s">
        <v>54</v>
      </c>
      <c r="D29" t="s">
        <v>1</v>
      </c>
      <c r="E29" t="s">
        <v>115</v>
      </c>
      <c r="F29" t="s">
        <v>99</v>
      </c>
      <c r="G29" t="s">
        <v>100</v>
      </c>
      <c r="H29" t="s">
        <v>128</v>
      </c>
      <c r="I29" t="s">
        <v>100</v>
      </c>
      <c r="J29" t="s">
        <v>101</v>
      </c>
      <c r="K29" t="s">
        <v>559</v>
      </c>
      <c r="L29" t="s">
        <v>559</v>
      </c>
      <c r="M29" t="s">
        <v>100</v>
      </c>
      <c r="N29" t="s">
        <v>446</v>
      </c>
      <c r="O29" t="s">
        <v>100</v>
      </c>
      <c r="Q29" t="s">
        <v>446</v>
      </c>
      <c r="R29" t="s">
        <v>119</v>
      </c>
      <c r="S29" t="s">
        <v>130</v>
      </c>
      <c r="T29" t="s">
        <v>120</v>
      </c>
      <c r="U29" t="s">
        <v>101</v>
      </c>
      <c r="V29" t="s">
        <v>121</v>
      </c>
      <c r="W29" t="s">
        <v>122</v>
      </c>
      <c r="X29" t="s">
        <v>123</v>
      </c>
      <c r="Y29">
        <v>1</v>
      </c>
      <c r="Z29" t="s">
        <v>561</v>
      </c>
      <c r="AA29" s="280">
        <v>38071</v>
      </c>
      <c r="AB29" t="s">
        <v>114</v>
      </c>
      <c r="AC29" t="s">
        <v>124</v>
      </c>
      <c r="AD29" s="280">
        <v>44651</v>
      </c>
      <c r="AE29" t="s">
        <v>125</v>
      </c>
      <c r="AF29">
        <v>6</v>
      </c>
      <c r="AG29">
        <v>0</v>
      </c>
      <c r="AH29">
        <v>0</v>
      </c>
      <c r="AI29" t="s">
        <v>126</v>
      </c>
      <c r="AL29">
        <v>1</v>
      </c>
      <c r="AN29">
        <v>1</v>
      </c>
      <c r="AO29">
        <v>0</v>
      </c>
      <c r="AP29" t="s">
        <v>1051</v>
      </c>
      <c r="AR29" t="s">
        <v>127</v>
      </c>
      <c r="AS29">
        <v>6459.24</v>
      </c>
      <c r="AU29">
        <v>0</v>
      </c>
      <c r="AV29">
        <v>0</v>
      </c>
      <c r="AW29">
        <v>0</v>
      </c>
      <c r="AX29">
        <v>6459.24</v>
      </c>
      <c r="AY29">
        <v>358.84666666666635</v>
      </c>
      <c r="AZ29">
        <v>0</v>
      </c>
      <c r="BC29">
        <v>-6100.3933333333334</v>
      </c>
      <c r="BE29" t="s">
        <v>114</v>
      </c>
      <c r="BH29">
        <v>-358.84666666666635</v>
      </c>
      <c r="BI29">
        <v>-29.903888888888861</v>
      </c>
      <c r="BK29" t="s">
        <v>116</v>
      </c>
      <c r="BL29">
        <v>0</v>
      </c>
      <c r="BM29">
        <v>-6459.24</v>
      </c>
      <c r="BR29">
        <v>0</v>
      </c>
      <c r="BS29">
        <v>0</v>
      </c>
      <c r="BW29" t="s">
        <v>167</v>
      </c>
      <c r="BX29" t="s">
        <v>168</v>
      </c>
      <c r="BZ29" t="s">
        <v>951</v>
      </c>
    </row>
    <row r="30" spans="1:78">
      <c r="A30" t="s">
        <v>204</v>
      </c>
      <c r="B30" t="s">
        <v>868</v>
      </c>
      <c r="C30" t="s">
        <v>54</v>
      </c>
      <c r="D30" t="s">
        <v>1</v>
      </c>
      <c r="E30" t="s">
        <v>115</v>
      </c>
      <c r="F30" t="s">
        <v>99</v>
      </c>
      <c r="G30" t="s">
        <v>100</v>
      </c>
      <c r="H30" t="s">
        <v>128</v>
      </c>
      <c r="I30" t="s">
        <v>100</v>
      </c>
      <c r="J30" t="s">
        <v>101</v>
      </c>
      <c r="K30" t="s">
        <v>559</v>
      </c>
      <c r="L30" t="s">
        <v>559</v>
      </c>
      <c r="M30" t="s">
        <v>100</v>
      </c>
      <c r="N30" t="s">
        <v>439</v>
      </c>
      <c r="O30" t="s">
        <v>100</v>
      </c>
      <c r="Q30" t="s">
        <v>439</v>
      </c>
      <c r="R30" t="s">
        <v>119</v>
      </c>
      <c r="S30" t="s">
        <v>130</v>
      </c>
      <c r="T30" t="s">
        <v>120</v>
      </c>
      <c r="U30" t="s">
        <v>101</v>
      </c>
      <c r="V30" t="s">
        <v>121</v>
      </c>
      <c r="W30" t="s">
        <v>122</v>
      </c>
      <c r="X30" t="s">
        <v>123</v>
      </c>
      <c r="Y30">
        <v>1</v>
      </c>
      <c r="Z30" t="s">
        <v>561</v>
      </c>
      <c r="AA30" s="280">
        <v>38071</v>
      </c>
      <c r="AB30" t="s">
        <v>114</v>
      </c>
      <c r="AC30" t="s">
        <v>124</v>
      </c>
      <c r="AD30" s="280">
        <v>44651</v>
      </c>
      <c r="AE30" t="s">
        <v>125</v>
      </c>
      <c r="AF30">
        <v>6</v>
      </c>
      <c r="AG30">
        <v>0</v>
      </c>
      <c r="AH30">
        <v>0</v>
      </c>
      <c r="AI30" t="s">
        <v>126</v>
      </c>
      <c r="AL30">
        <v>1</v>
      </c>
      <c r="AN30">
        <v>1</v>
      </c>
      <c r="AO30">
        <v>0</v>
      </c>
      <c r="AP30" t="s">
        <v>1050</v>
      </c>
      <c r="AR30" t="s">
        <v>127</v>
      </c>
      <c r="AS30">
        <v>6459.24</v>
      </c>
      <c r="AU30">
        <v>0</v>
      </c>
      <c r="AV30">
        <v>0</v>
      </c>
      <c r="AW30">
        <v>0</v>
      </c>
      <c r="AX30">
        <v>6459.24</v>
      </c>
      <c r="AY30">
        <v>358.84666666666635</v>
      </c>
      <c r="AZ30">
        <v>0</v>
      </c>
      <c r="BC30">
        <v>-6100.3933333333334</v>
      </c>
      <c r="BE30" t="s">
        <v>114</v>
      </c>
      <c r="BH30">
        <v>-358.84666666666635</v>
      </c>
      <c r="BI30">
        <v>-29.903888888888861</v>
      </c>
      <c r="BK30" t="s">
        <v>116</v>
      </c>
      <c r="BL30">
        <v>0</v>
      </c>
      <c r="BM30">
        <v>-6459.24</v>
      </c>
      <c r="BR30">
        <v>0</v>
      </c>
      <c r="BS30">
        <v>0</v>
      </c>
      <c r="BW30" t="s">
        <v>167</v>
      </c>
      <c r="BX30" t="s">
        <v>168</v>
      </c>
      <c r="BZ30" t="s">
        <v>938</v>
      </c>
    </row>
    <row r="31" spans="1:78">
      <c r="A31" t="s">
        <v>205</v>
      </c>
      <c r="B31" t="s">
        <v>865</v>
      </c>
      <c r="C31" t="s">
        <v>54</v>
      </c>
      <c r="D31" t="s">
        <v>1</v>
      </c>
      <c r="E31" t="s">
        <v>115</v>
      </c>
      <c r="F31" t="s">
        <v>99</v>
      </c>
      <c r="G31" t="s">
        <v>100</v>
      </c>
      <c r="H31" t="s">
        <v>128</v>
      </c>
      <c r="I31" t="s">
        <v>100</v>
      </c>
      <c r="J31" t="s">
        <v>101</v>
      </c>
      <c r="K31" t="s">
        <v>559</v>
      </c>
      <c r="L31" t="s">
        <v>559</v>
      </c>
      <c r="M31" t="s">
        <v>100</v>
      </c>
      <c r="N31" t="s">
        <v>447</v>
      </c>
      <c r="O31" t="s">
        <v>100</v>
      </c>
      <c r="Q31" t="s">
        <v>447</v>
      </c>
      <c r="R31" t="s">
        <v>119</v>
      </c>
      <c r="S31" t="s">
        <v>130</v>
      </c>
      <c r="T31" t="s">
        <v>120</v>
      </c>
      <c r="U31" t="s">
        <v>101</v>
      </c>
      <c r="V31" t="s">
        <v>121</v>
      </c>
      <c r="W31" t="s">
        <v>122</v>
      </c>
      <c r="X31" t="s">
        <v>123</v>
      </c>
      <c r="Y31">
        <v>1</v>
      </c>
      <c r="Z31" t="s">
        <v>561</v>
      </c>
      <c r="AA31" s="280">
        <v>38071</v>
      </c>
      <c r="AB31" t="s">
        <v>114</v>
      </c>
      <c r="AC31" t="s">
        <v>124</v>
      </c>
      <c r="AD31" s="280">
        <v>44651</v>
      </c>
      <c r="AE31" t="s">
        <v>125</v>
      </c>
      <c r="AF31">
        <v>6</v>
      </c>
      <c r="AG31">
        <v>0</v>
      </c>
      <c r="AH31">
        <v>0</v>
      </c>
      <c r="AI31" t="s">
        <v>126</v>
      </c>
      <c r="AL31">
        <v>1</v>
      </c>
      <c r="AN31">
        <v>1</v>
      </c>
      <c r="AO31">
        <v>0</v>
      </c>
      <c r="AP31" t="s">
        <v>1050</v>
      </c>
      <c r="AR31" t="s">
        <v>127</v>
      </c>
      <c r="AS31">
        <v>3034.68</v>
      </c>
      <c r="AU31">
        <v>0</v>
      </c>
      <c r="AV31">
        <v>0</v>
      </c>
      <c r="AW31">
        <v>0</v>
      </c>
      <c r="AX31">
        <v>3034.68</v>
      </c>
      <c r="AY31">
        <v>168.5933333333337</v>
      </c>
      <c r="AZ31">
        <v>0</v>
      </c>
      <c r="BC31">
        <v>-2866.0866666666661</v>
      </c>
      <c r="BE31" t="s">
        <v>114</v>
      </c>
      <c r="BH31">
        <v>-168.5933333333337</v>
      </c>
      <c r="BI31">
        <v>-14.049444444444475</v>
      </c>
      <c r="BK31" t="s">
        <v>116</v>
      </c>
      <c r="BL31">
        <v>0</v>
      </c>
      <c r="BM31">
        <v>-3034.68</v>
      </c>
      <c r="BR31">
        <v>0</v>
      </c>
      <c r="BS31">
        <v>0</v>
      </c>
      <c r="BW31" t="s">
        <v>167</v>
      </c>
      <c r="BX31" t="s">
        <v>168</v>
      </c>
      <c r="BZ31" t="s">
        <v>938</v>
      </c>
    </row>
    <row r="32" spans="1:78">
      <c r="A32" t="s">
        <v>206</v>
      </c>
      <c r="B32" t="s">
        <v>869</v>
      </c>
      <c r="C32" t="s">
        <v>54</v>
      </c>
      <c r="D32" t="s">
        <v>1</v>
      </c>
      <c r="E32" t="s">
        <v>115</v>
      </c>
      <c r="F32" t="s">
        <v>99</v>
      </c>
      <c r="G32" t="s">
        <v>100</v>
      </c>
      <c r="H32" t="s">
        <v>128</v>
      </c>
      <c r="I32" t="s">
        <v>100</v>
      </c>
      <c r="J32" t="s">
        <v>101</v>
      </c>
      <c r="K32" t="s">
        <v>559</v>
      </c>
      <c r="L32" t="s">
        <v>559</v>
      </c>
      <c r="M32" t="s">
        <v>100</v>
      </c>
      <c r="N32" t="s">
        <v>448</v>
      </c>
      <c r="O32" t="s">
        <v>100</v>
      </c>
      <c r="Q32" t="s">
        <v>448</v>
      </c>
      <c r="R32" t="s">
        <v>119</v>
      </c>
      <c r="S32" t="s">
        <v>130</v>
      </c>
      <c r="T32" t="s">
        <v>120</v>
      </c>
      <c r="U32" t="s">
        <v>101</v>
      </c>
      <c r="V32" t="s">
        <v>121</v>
      </c>
      <c r="W32" t="s">
        <v>122</v>
      </c>
      <c r="X32" t="s">
        <v>123</v>
      </c>
      <c r="Y32">
        <v>1</v>
      </c>
      <c r="Z32" t="s">
        <v>562</v>
      </c>
      <c r="AA32" s="280">
        <v>38607</v>
      </c>
      <c r="AB32" t="s">
        <v>114</v>
      </c>
      <c r="AC32" t="s">
        <v>124</v>
      </c>
      <c r="AD32" s="280">
        <v>44651</v>
      </c>
      <c r="AE32" t="s">
        <v>125</v>
      </c>
      <c r="AF32">
        <v>6</v>
      </c>
      <c r="AG32">
        <v>0</v>
      </c>
      <c r="AH32">
        <v>0</v>
      </c>
      <c r="AI32" t="s">
        <v>126</v>
      </c>
      <c r="AL32">
        <v>1</v>
      </c>
      <c r="AN32">
        <v>1</v>
      </c>
      <c r="AO32">
        <v>0</v>
      </c>
      <c r="AP32" t="s">
        <v>1050</v>
      </c>
      <c r="AR32" t="s">
        <v>127</v>
      </c>
      <c r="AS32">
        <v>3192</v>
      </c>
      <c r="AU32">
        <v>0</v>
      </c>
      <c r="AV32">
        <v>0</v>
      </c>
      <c r="AW32">
        <v>0</v>
      </c>
      <c r="AX32">
        <v>3192</v>
      </c>
      <c r="AY32">
        <v>177.33333333333303</v>
      </c>
      <c r="AZ32">
        <v>0</v>
      </c>
      <c r="BC32">
        <v>-3014.666666666667</v>
      </c>
      <c r="BE32" t="s">
        <v>114</v>
      </c>
      <c r="BH32">
        <v>-177.33333333333303</v>
      </c>
      <c r="BI32">
        <v>-14.777777777777752</v>
      </c>
      <c r="BK32" t="s">
        <v>116</v>
      </c>
      <c r="BL32">
        <v>0</v>
      </c>
      <c r="BM32">
        <v>-3192</v>
      </c>
      <c r="BR32">
        <v>0</v>
      </c>
      <c r="BS32">
        <v>0</v>
      </c>
      <c r="BW32" t="s">
        <v>167</v>
      </c>
      <c r="BX32" t="s">
        <v>168</v>
      </c>
      <c r="BZ32" t="s">
        <v>952</v>
      </c>
    </row>
    <row r="33" spans="1:78">
      <c r="A33" t="s">
        <v>207</v>
      </c>
      <c r="B33" t="s">
        <v>861</v>
      </c>
      <c r="C33" t="s">
        <v>54</v>
      </c>
      <c r="D33" t="s">
        <v>1</v>
      </c>
      <c r="E33" t="s">
        <v>115</v>
      </c>
      <c r="F33" t="s">
        <v>99</v>
      </c>
      <c r="G33" t="s">
        <v>100</v>
      </c>
      <c r="H33" t="s">
        <v>128</v>
      </c>
      <c r="I33" t="s">
        <v>100</v>
      </c>
      <c r="J33" t="s">
        <v>101</v>
      </c>
      <c r="K33" t="s">
        <v>559</v>
      </c>
      <c r="L33" t="s">
        <v>559</v>
      </c>
      <c r="M33" t="s">
        <v>100</v>
      </c>
      <c r="N33" t="s">
        <v>449</v>
      </c>
      <c r="O33" t="s">
        <v>100</v>
      </c>
      <c r="Q33" t="s">
        <v>449</v>
      </c>
      <c r="R33" t="s">
        <v>119</v>
      </c>
      <c r="S33" t="s">
        <v>130</v>
      </c>
      <c r="T33" t="s">
        <v>120</v>
      </c>
      <c r="U33" t="s">
        <v>101</v>
      </c>
      <c r="V33" t="s">
        <v>121</v>
      </c>
      <c r="W33" t="s">
        <v>122</v>
      </c>
      <c r="X33" t="s">
        <v>123</v>
      </c>
      <c r="Y33">
        <v>1</v>
      </c>
      <c r="Z33" t="s">
        <v>562</v>
      </c>
      <c r="AA33" s="280">
        <v>38607</v>
      </c>
      <c r="AB33" t="s">
        <v>114</v>
      </c>
      <c r="AC33" t="s">
        <v>124</v>
      </c>
      <c r="AD33" s="280">
        <v>44651</v>
      </c>
      <c r="AE33" t="s">
        <v>125</v>
      </c>
      <c r="AF33">
        <v>6</v>
      </c>
      <c r="AG33">
        <v>0</v>
      </c>
      <c r="AH33">
        <v>0</v>
      </c>
      <c r="AI33" t="s">
        <v>126</v>
      </c>
      <c r="AL33">
        <v>1</v>
      </c>
      <c r="AN33">
        <v>1</v>
      </c>
      <c r="AO33">
        <v>0</v>
      </c>
      <c r="AP33" t="s">
        <v>1050</v>
      </c>
      <c r="AR33" t="s">
        <v>127</v>
      </c>
      <c r="AS33">
        <v>3192</v>
      </c>
      <c r="AU33">
        <v>0</v>
      </c>
      <c r="AV33">
        <v>0</v>
      </c>
      <c r="AW33">
        <v>0</v>
      </c>
      <c r="AX33">
        <v>3192</v>
      </c>
      <c r="AY33">
        <v>177.33333333333303</v>
      </c>
      <c r="AZ33">
        <v>0</v>
      </c>
      <c r="BC33">
        <v>-3014.666666666667</v>
      </c>
      <c r="BE33" t="s">
        <v>114</v>
      </c>
      <c r="BH33">
        <v>-177.33333333333303</v>
      </c>
      <c r="BI33">
        <v>-14.777777777777752</v>
      </c>
      <c r="BK33" t="s">
        <v>116</v>
      </c>
      <c r="BL33">
        <v>0</v>
      </c>
      <c r="BM33">
        <v>-3192</v>
      </c>
      <c r="BR33">
        <v>0</v>
      </c>
      <c r="BS33">
        <v>0</v>
      </c>
      <c r="BW33" t="s">
        <v>167</v>
      </c>
      <c r="BX33" t="s">
        <v>168</v>
      </c>
      <c r="BZ33" t="s">
        <v>943</v>
      </c>
    </row>
    <row r="34" spans="1:78">
      <c r="A34" t="s">
        <v>208</v>
      </c>
      <c r="B34" t="s">
        <v>870</v>
      </c>
      <c r="C34" t="s">
        <v>54</v>
      </c>
      <c r="D34" t="s">
        <v>1</v>
      </c>
      <c r="E34" t="s">
        <v>115</v>
      </c>
      <c r="F34" t="s">
        <v>99</v>
      </c>
      <c r="G34" t="s">
        <v>100</v>
      </c>
      <c r="H34" t="s">
        <v>128</v>
      </c>
      <c r="I34" t="s">
        <v>100</v>
      </c>
      <c r="J34" t="s">
        <v>101</v>
      </c>
      <c r="K34" t="s">
        <v>559</v>
      </c>
      <c r="L34" t="s">
        <v>559</v>
      </c>
      <c r="M34" t="s">
        <v>100</v>
      </c>
      <c r="N34" t="s">
        <v>450</v>
      </c>
      <c r="O34" t="s">
        <v>100</v>
      </c>
      <c r="Q34" t="s">
        <v>450</v>
      </c>
      <c r="R34" t="s">
        <v>119</v>
      </c>
      <c r="S34" t="s">
        <v>130</v>
      </c>
      <c r="T34" t="s">
        <v>120</v>
      </c>
      <c r="U34" t="s">
        <v>101</v>
      </c>
      <c r="V34" t="s">
        <v>121</v>
      </c>
      <c r="W34" t="s">
        <v>122</v>
      </c>
      <c r="X34" t="s">
        <v>123</v>
      </c>
      <c r="Y34">
        <v>1</v>
      </c>
      <c r="Z34" t="s">
        <v>562</v>
      </c>
      <c r="AA34" s="280">
        <v>38607</v>
      </c>
      <c r="AB34" t="s">
        <v>114</v>
      </c>
      <c r="AC34" t="s">
        <v>124</v>
      </c>
      <c r="AD34" s="280">
        <v>44651</v>
      </c>
      <c r="AE34" t="s">
        <v>125</v>
      </c>
      <c r="AF34">
        <v>6</v>
      </c>
      <c r="AG34">
        <v>0</v>
      </c>
      <c r="AH34">
        <v>0</v>
      </c>
      <c r="AI34" t="s">
        <v>126</v>
      </c>
      <c r="AL34">
        <v>1</v>
      </c>
      <c r="AN34">
        <v>1</v>
      </c>
      <c r="AO34">
        <v>0</v>
      </c>
      <c r="AP34" t="s">
        <v>1050</v>
      </c>
      <c r="AR34" t="s">
        <v>127</v>
      </c>
      <c r="AS34">
        <v>3192</v>
      </c>
      <c r="AU34">
        <v>0</v>
      </c>
      <c r="AV34">
        <v>0</v>
      </c>
      <c r="AW34">
        <v>0</v>
      </c>
      <c r="AX34">
        <v>3192</v>
      </c>
      <c r="AY34">
        <v>177.33333333333303</v>
      </c>
      <c r="AZ34">
        <v>0</v>
      </c>
      <c r="BC34">
        <v>-3014.666666666667</v>
      </c>
      <c r="BE34" t="s">
        <v>114</v>
      </c>
      <c r="BH34">
        <v>-177.33333333333303</v>
      </c>
      <c r="BI34">
        <v>-14.777777777777752</v>
      </c>
      <c r="BK34" t="s">
        <v>116</v>
      </c>
      <c r="BL34">
        <v>0</v>
      </c>
      <c r="BM34">
        <v>-3192</v>
      </c>
      <c r="BR34">
        <v>0</v>
      </c>
      <c r="BS34">
        <v>0</v>
      </c>
      <c r="BW34" t="s">
        <v>167</v>
      </c>
      <c r="BX34" t="s">
        <v>168</v>
      </c>
      <c r="BZ34" t="s">
        <v>953</v>
      </c>
    </row>
    <row r="35" spans="1:78">
      <c r="A35" t="s">
        <v>209</v>
      </c>
      <c r="B35" t="s">
        <v>851</v>
      </c>
      <c r="C35" t="s">
        <v>54</v>
      </c>
      <c r="D35" t="s">
        <v>1</v>
      </c>
      <c r="E35" t="s">
        <v>115</v>
      </c>
      <c r="F35" t="s">
        <v>99</v>
      </c>
      <c r="G35" t="s">
        <v>100</v>
      </c>
      <c r="H35" t="s">
        <v>128</v>
      </c>
      <c r="I35" t="s">
        <v>100</v>
      </c>
      <c r="J35" t="s">
        <v>101</v>
      </c>
      <c r="K35" t="s">
        <v>559</v>
      </c>
      <c r="L35" t="s">
        <v>559</v>
      </c>
      <c r="M35" t="s">
        <v>100</v>
      </c>
      <c r="N35" t="s">
        <v>448</v>
      </c>
      <c r="O35" t="s">
        <v>100</v>
      </c>
      <c r="Q35" t="s">
        <v>448</v>
      </c>
      <c r="R35" t="s">
        <v>119</v>
      </c>
      <c r="S35" t="s">
        <v>130</v>
      </c>
      <c r="T35" t="s">
        <v>120</v>
      </c>
      <c r="U35" t="s">
        <v>101</v>
      </c>
      <c r="V35" t="s">
        <v>121</v>
      </c>
      <c r="W35" t="s">
        <v>122</v>
      </c>
      <c r="X35" t="s">
        <v>123</v>
      </c>
      <c r="Y35">
        <v>1</v>
      </c>
      <c r="Z35" t="s">
        <v>562</v>
      </c>
      <c r="AA35" s="280">
        <v>38607</v>
      </c>
      <c r="AB35" t="s">
        <v>114</v>
      </c>
      <c r="AC35" t="s">
        <v>124</v>
      </c>
      <c r="AD35" s="280">
        <v>44651</v>
      </c>
      <c r="AE35" t="s">
        <v>125</v>
      </c>
      <c r="AF35">
        <v>6</v>
      </c>
      <c r="AG35">
        <v>0</v>
      </c>
      <c r="AH35">
        <v>0</v>
      </c>
      <c r="AI35" t="s">
        <v>126</v>
      </c>
      <c r="AL35">
        <v>1</v>
      </c>
      <c r="AN35">
        <v>1</v>
      </c>
      <c r="AO35">
        <v>0</v>
      </c>
      <c r="AP35" t="s">
        <v>1050</v>
      </c>
      <c r="AR35" t="s">
        <v>127</v>
      </c>
      <c r="AS35">
        <v>3192</v>
      </c>
      <c r="AU35">
        <v>0</v>
      </c>
      <c r="AV35">
        <v>0</v>
      </c>
      <c r="AW35">
        <v>0</v>
      </c>
      <c r="AX35">
        <v>3192</v>
      </c>
      <c r="AY35">
        <v>177.33333333333303</v>
      </c>
      <c r="AZ35">
        <v>0</v>
      </c>
      <c r="BC35">
        <v>-3014.666666666667</v>
      </c>
      <c r="BE35" t="s">
        <v>114</v>
      </c>
      <c r="BH35">
        <v>-177.33333333333303</v>
      </c>
      <c r="BI35">
        <v>-14.777777777777752</v>
      </c>
      <c r="BK35" t="s">
        <v>116</v>
      </c>
      <c r="BL35">
        <v>0</v>
      </c>
      <c r="BM35">
        <v>-3192</v>
      </c>
      <c r="BR35">
        <v>0</v>
      </c>
      <c r="BS35">
        <v>0</v>
      </c>
      <c r="BW35" t="s">
        <v>167</v>
      </c>
      <c r="BX35" t="s">
        <v>168</v>
      </c>
      <c r="BZ35" t="s">
        <v>954</v>
      </c>
    </row>
    <row r="36" spans="1:78">
      <c r="A36" t="s">
        <v>210</v>
      </c>
      <c r="B36" t="s">
        <v>857</v>
      </c>
      <c r="C36" t="s">
        <v>54</v>
      </c>
      <c r="D36" t="s">
        <v>1</v>
      </c>
      <c r="E36" t="s">
        <v>115</v>
      </c>
      <c r="F36" t="s">
        <v>99</v>
      </c>
      <c r="G36" t="s">
        <v>100</v>
      </c>
      <c r="H36" t="s">
        <v>128</v>
      </c>
      <c r="I36" t="s">
        <v>100</v>
      </c>
      <c r="J36" t="s">
        <v>101</v>
      </c>
      <c r="K36" t="s">
        <v>559</v>
      </c>
      <c r="L36" t="s">
        <v>559</v>
      </c>
      <c r="M36" t="s">
        <v>100</v>
      </c>
      <c r="N36" t="s">
        <v>451</v>
      </c>
      <c r="O36" t="s">
        <v>100</v>
      </c>
      <c r="Q36" t="s">
        <v>451</v>
      </c>
      <c r="R36" t="s">
        <v>119</v>
      </c>
      <c r="S36" t="s">
        <v>130</v>
      </c>
      <c r="T36" t="s">
        <v>120</v>
      </c>
      <c r="U36" t="s">
        <v>101</v>
      </c>
      <c r="V36" t="s">
        <v>121</v>
      </c>
      <c r="W36" t="s">
        <v>122</v>
      </c>
      <c r="X36" t="s">
        <v>123</v>
      </c>
      <c r="Y36">
        <v>1</v>
      </c>
      <c r="Z36" t="s">
        <v>562</v>
      </c>
      <c r="AA36" s="280">
        <v>38607</v>
      </c>
      <c r="AB36" t="s">
        <v>114</v>
      </c>
      <c r="AC36" t="s">
        <v>124</v>
      </c>
      <c r="AD36" s="280">
        <v>44651</v>
      </c>
      <c r="AE36" t="s">
        <v>125</v>
      </c>
      <c r="AF36">
        <v>6</v>
      </c>
      <c r="AG36">
        <v>0</v>
      </c>
      <c r="AH36">
        <v>0</v>
      </c>
      <c r="AI36" t="s">
        <v>126</v>
      </c>
      <c r="AL36">
        <v>1</v>
      </c>
      <c r="AN36">
        <v>1</v>
      </c>
      <c r="AO36">
        <v>0</v>
      </c>
      <c r="AP36" t="s">
        <v>1050</v>
      </c>
      <c r="AR36" t="s">
        <v>127</v>
      </c>
      <c r="AS36">
        <v>3192</v>
      </c>
      <c r="AU36">
        <v>0</v>
      </c>
      <c r="AV36">
        <v>0</v>
      </c>
      <c r="AW36">
        <v>0</v>
      </c>
      <c r="AX36">
        <v>3192</v>
      </c>
      <c r="AY36">
        <v>177.33333333333303</v>
      </c>
      <c r="AZ36">
        <v>0</v>
      </c>
      <c r="BC36">
        <v>-3014.666666666667</v>
      </c>
      <c r="BE36" t="s">
        <v>114</v>
      </c>
      <c r="BH36">
        <v>-177.33333333333303</v>
      </c>
      <c r="BI36">
        <v>-14.777777777777752</v>
      </c>
      <c r="BK36" t="s">
        <v>116</v>
      </c>
      <c r="BL36">
        <v>0</v>
      </c>
      <c r="BM36">
        <v>-3192</v>
      </c>
      <c r="BR36">
        <v>0</v>
      </c>
      <c r="BS36">
        <v>0</v>
      </c>
      <c r="BW36" t="s">
        <v>167</v>
      </c>
      <c r="BX36" t="s">
        <v>168</v>
      </c>
      <c r="BZ36" t="s">
        <v>948</v>
      </c>
    </row>
    <row r="37" spans="1:78">
      <c r="A37" t="s">
        <v>211</v>
      </c>
      <c r="B37" t="s">
        <v>859</v>
      </c>
      <c r="C37" t="s">
        <v>54</v>
      </c>
      <c r="D37" t="s">
        <v>1</v>
      </c>
      <c r="E37" t="s">
        <v>115</v>
      </c>
      <c r="F37" t="s">
        <v>99</v>
      </c>
      <c r="G37" t="s">
        <v>100</v>
      </c>
      <c r="H37" t="s">
        <v>128</v>
      </c>
      <c r="I37" t="s">
        <v>100</v>
      </c>
      <c r="J37" t="s">
        <v>101</v>
      </c>
      <c r="K37" t="s">
        <v>559</v>
      </c>
      <c r="L37" t="s">
        <v>559</v>
      </c>
      <c r="M37" t="s">
        <v>100</v>
      </c>
      <c r="N37" t="s">
        <v>452</v>
      </c>
      <c r="O37" t="s">
        <v>100</v>
      </c>
      <c r="Q37" t="s">
        <v>452</v>
      </c>
      <c r="R37" t="s">
        <v>119</v>
      </c>
      <c r="S37" t="s">
        <v>130</v>
      </c>
      <c r="T37" t="s">
        <v>120</v>
      </c>
      <c r="U37" t="s">
        <v>101</v>
      </c>
      <c r="V37" t="s">
        <v>121</v>
      </c>
      <c r="W37" t="s">
        <v>122</v>
      </c>
      <c r="X37" t="s">
        <v>123</v>
      </c>
      <c r="Y37">
        <v>1</v>
      </c>
      <c r="Z37" t="s">
        <v>562</v>
      </c>
      <c r="AA37" s="280">
        <v>38607</v>
      </c>
      <c r="AB37" t="s">
        <v>114</v>
      </c>
      <c r="AC37" t="s">
        <v>124</v>
      </c>
      <c r="AD37" s="280">
        <v>44651</v>
      </c>
      <c r="AE37" t="s">
        <v>125</v>
      </c>
      <c r="AF37">
        <v>6</v>
      </c>
      <c r="AG37">
        <v>0</v>
      </c>
      <c r="AH37">
        <v>0</v>
      </c>
      <c r="AI37" t="s">
        <v>126</v>
      </c>
      <c r="AL37">
        <v>1</v>
      </c>
      <c r="AN37">
        <v>1</v>
      </c>
      <c r="AO37">
        <v>0</v>
      </c>
      <c r="AP37" t="s">
        <v>1050</v>
      </c>
      <c r="AR37" t="s">
        <v>127</v>
      </c>
      <c r="AS37">
        <v>3192</v>
      </c>
      <c r="AU37">
        <v>0</v>
      </c>
      <c r="AV37">
        <v>0</v>
      </c>
      <c r="AW37">
        <v>0</v>
      </c>
      <c r="AX37">
        <v>3192</v>
      </c>
      <c r="AY37">
        <v>177.33333333333303</v>
      </c>
      <c r="AZ37">
        <v>0</v>
      </c>
      <c r="BC37">
        <v>-3014.666666666667</v>
      </c>
      <c r="BE37" t="s">
        <v>114</v>
      </c>
      <c r="BH37">
        <v>-177.33333333333303</v>
      </c>
      <c r="BI37">
        <v>-14.777777777777752</v>
      </c>
      <c r="BK37" t="s">
        <v>116</v>
      </c>
      <c r="BL37">
        <v>0</v>
      </c>
      <c r="BM37">
        <v>-3192</v>
      </c>
      <c r="BR37">
        <v>0</v>
      </c>
      <c r="BS37">
        <v>0</v>
      </c>
      <c r="BW37" t="s">
        <v>167</v>
      </c>
      <c r="BX37" t="s">
        <v>168</v>
      </c>
      <c r="BZ37" t="s">
        <v>938</v>
      </c>
    </row>
    <row r="38" spans="1:78">
      <c r="A38" t="s">
        <v>212</v>
      </c>
      <c r="B38" t="s">
        <v>872</v>
      </c>
      <c r="C38" t="s">
        <v>54</v>
      </c>
      <c r="D38" t="s">
        <v>1</v>
      </c>
      <c r="E38" t="s">
        <v>115</v>
      </c>
      <c r="F38" t="s">
        <v>99</v>
      </c>
      <c r="G38" t="s">
        <v>100</v>
      </c>
      <c r="H38" t="s">
        <v>128</v>
      </c>
      <c r="I38" t="s">
        <v>100</v>
      </c>
      <c r="J38" t="s">
        <v>101</v>
      </c>
      <c r="K38" t="s">
        <v>559</v>
      </c>
      <c r="L38" t="s">
        <v>559</v>
      </c>
      <c r="M38" t="s">
        <v>100</v>
      </c>
      <c r="N38" t="s">
        <v>451</v>
      </c>
      <c r="O38" t="s">
        <v>100</v>
      </c>
      <c r="Q38" t="s">
        <v>451</v>
      </c>
      <c r="R38" t="s">
        <v>119</v>
      </c>
      <c r="S38" t="s">
        <v>130</v>
      </c>
      <c r="T38" t="s">
        <v>120</v>
      </c>
      <c r="U38" t="s">
        <v>101</v>
      </c>
      <c r="V38" t="s">
        <v>121</v>
      </c>
      <c r="W38" t="s">
        <v>122</v>
      </c>
      <c r="X38" t="s">
        <v>123</v>
      </c>
      <c r="Y38">
        <v>1</v>
      </c>
      <c r="Z38" t="s">
        <v>562</v>
      </c>
      <c r="AA38" s="280">
        <v>38607</v>
      </c>
      <c r="AB38" t="s">
        <v>114</v>
      </c>
      <c r="AC38" t="s">
        <v>124</v>
      </c>
      <c r="AD38" s="280">
        <v>44651</v>
      </c>
      <c r="AE38" t="s">
        <v>125</v>
      </c>
      <c r="AF38">
        <v>6</v>
      </c>
      <c r="AG38">
        <v>0</v>
      </c>
      <c r="AH38">
        <v>0</v>
      </c>
      <c r="AI38" t="s">
        <v>126</v>
      </c>
      <c r="AL38">
        <v>1</v>
      </c>
      <c r="AN38">
        <v>1</v>
      </c>
      <c r="AO38">
        <v>0</v>
      </c>
      <c r="AP38" t="s">
        <v>1050</v>
      </c>
      <c r="AR38" t="s">
        <v>127</v>
      </c>
      <c r="AS38">
        <v>3192</v>
      </c>
      <c r="AU38">
        <v>0</v>
      </c>
      <c r="AV38">
        <v>0</v>
      </c>
      <c r="AW38">
        <v>0</v>
      </c>
      <c r="AX38">
        <v>3192</v>
      </c>
      <c r="AY38">
        <v>177.33333333333303</v>
      </c>
      <c r="AZ38">
        <v>0</v>
      </c>
      <c r="BC38">
        <v>-3014.666666666667</v>
      </c>
      <c r="BE38" t="s">
        <v>114</v>
      </c>
      <c r="BH38">
        <v>-177.33333333333303</v>
      </c>
      <c r="BI38">
        <v>-14.777777777777752</v>
      </c>
      <c r="BK38" t="s">
        <v>116</v>
      </c>
      <c r="BL38">
        <v>0</v>
      </c>
      <c r="BM38">
        <v>-3192</v>
      </c>
      <c r="BR38">
        <v>0</v>
      </c>
      <c r="BS38">
        <v>0</v>
      </c>
      <c r="BW38" t="s">
        <v>167</v>
      </c>
      <c r="BX38" t="s">
        <v>168</v>
      </c>
      <c r="BZ38" t="s">
        <v>956</v>
      </c>
    </row>
    <row r="39" spans="1:78">
      <c r="A39" t="s">
        <v>213</v>
      </c>
      <c r="B39" t="s">
        <v>868</v>
      </c>
      <c r="C39" t="s">
        <v>54</v>
      </c>
      <c r="D39" t="s">
        <v>1</v>
      </c>
      <c r="E39" t="s">
        <v>115</v>
      </c>
      <c r="F39" t="s">
        <v>99</v>
      </c>
      <c r="G39" t="s">
        <v>100</v>
      </c>
      <c r="H39" t="s">
        <v>128</v>
      </c>
      <c r="I39" t="s">
        <v>100</v>
      </c>
      <c r="J39" t="s">
        <v>101</v>
      </c>
      <c r="K39" t="s">
        <v>559</v>
      </c>
      <c r="L39" t="s">
        <v>559</v>
      </c>
      <c r="M39" t="s">
        <v>100</v>
      </c>
      <c r="N39" t="s">
        <v>451</v>
      </c>
      <c r="O39" t="s">
        <v>100</v>
      </c>
      <c r="Q39" t="s">
        <v>451</v>
      </c>
      <c r="R39" t="s">
        <v>119</v>
      </c>
      <c r="S39" t="s">
        <v>130</v>
      </c>
      <c r="T39" t="s">
        <v>120</v>
      </c>
      <c r="U39" t="s">
        <v>101</v>
      </c>
      <c r="V39" t="s">
        <v>121</v>
      </c>
      <c r="W39" t="s">
        <v>122</v>
      </c>
      <c r="X39" t="s">
        <v>123</v>
      </c>
      <c r="Y39">
        <v>1</v>
      </c>
      <c r="Z39" t="s">
        <v>562</v>
      </c>
      <c r="AA39" s="280">
        <v>38607</v>
      </c>
      <c r="AB39" t="s">
        <v>114</v>
      </c>
      <c r="AC39" t="s">
        <v>124</v>
      </c>
      <c r="AD39" s="280">
        <v>44651</v>
      </c>
      <c r="AE39" t="s">
        <v>125</v>
      </c>
      <c r="AF39">
        <v>6</v>
      </c>
      <c r="AG39">
        <v>0</v>
      </c>
      <c r="AH39">
        <v>0</v>
      </c>
      <c r="AI39" t="s">
        <v>126</v>
      </c>
      <c r="AL39">
        <v>1</v>
      </c>
      <c r="AN39">
        <v>1</v>
      </c>
      <c r="AO39">
        <v>0</v>
      </c>
      <c r="AP39" t="s">
        <v>1050</v>
      </c>
      <c r="AR39" t="s">
        <v>127</v>
      </c>
      <c r="AS39">
        <v>3192</v>
      </c>
      <c r="AU39">
        <v>0</v>
      </c>
      <c r="AV39">
        <v>0</v>
      </c>
      <c r="AW39">
        <v>0</v>
      </c>
      <c r="AX39">
        <v>3192</v>
      </c>
      <c r="AY39">
        <v>177.33333333333303</v>
      </c>
      <c r="AZ39">
        <v>0</v>
      </c>
      <c r="BC39">
        <v>-3014.666666666667</v>
      </c>
      <c r="BE39" t="s">
        <v>114</v>
      </c>
      <c r="BH39">
        <v>-177.33333333333303</v>
      </c>
      <c r="BI39">
        <v>-14.777777777777752</v>
      </c>
      <c r="BK39" t="s">
        <v>116</v>
      </c>
      <c r="BL39">
        <v>0</v>
      </c>
      <c r="BM39">
        <v>-3192</v>
      </c>
      <c r="BR39">
        <v>0</v>
      </c>
      <c r="BS39">
        <v>0</v>
      </c>
      <c r="BW39" t="s">
        <v>167</v>
      </c>
      <c r="BX39" t="s">
        <v>168</v>
      </c>
      <c r="BZ39" t="s">
        <v>957</v>
      </c>
    </row>
    <row r="40" spans="1:78">
      <c r="A40" t="s">
        <v>214</v>
      </c>
      <c r="B40" t="s">
        <v>853</v>
      </c>
      <c r="C40" t="s">
        <v>54</v>
      </c>
      <c r="D40" t="s">
        <v>1</v>
      </c>
      <c r="E40" t="s">
        <v>115</v>
      </c>
      <c r="F40" t="s">
        <v>99</v>
      </c>
      <c r="G40" t="s">
        <v>100</v>
      </c>
      <c r="H40" t="s">
        <v>128</v>
      </c>
      <c r="I40" t="s">
        <v>100</v>
      </c>
      <c r="J40" t="s">
        <v>101</v>
      </c>
      <c r="K40" t="s">
        <v>559</v>
      </c>
      <c r="L40" t="s">
        <v>559</v>
      </c>
      <c r="M40" t="s">
        <v>100</v>
      </c>
      <c r="N40" t="s">
        <v>451</v>
      </c>
      <c r="O40" t="s">
        <v>100</v>
      </c>
      <c r="Q40" t="s">
        <v>451</v>
      </c>
      <c r="R40" t="s">
        <v>119</v>
      </c>
      <c r="S40" t="s">
        <v>130</v>
      </c>
      <c r="T40" t="s">
        <v>120</v>
      </c>
      <c r="U40" t="s">
        <v>101</v>
      </c>
      <c r="V40" t="s">
        <v>121</v>
      </c>
      <c r="W40" t="s">
        <v>122</v>
      </c>
      <c r="X40" t="s">
        <v>123</v>
      </c>
      <c r="Y40">
        <v>1</v>
      </c>
      <c r="Z40" t="s">
        <v>562</v>
      </c>
      <c r="AA40" s="280">
        <v>38607</v>
      </c>
      <c r="AB40" t="s">
        <v>114</v>
      </c>
      <c r="AC40" t="s">
        <v>124</v>
      </c>
      <c r="AD40" s="280">
        <v>44651</v>
      </c>
      <c r="AE40" t="s">
        <v>125</v>
      </c>
      <c r="AF40">
        <v>6</v>
      </c>
      <c r="AG40">
        <v>0</v>
      </c>
      <c r="AH40">
        <v>0</v>
      </c>
      <c r="AI40" t="s">
        <v>126</v>
      </c>
      <c r="AL40">
        <v>1</v>
      </c>
      <c r="AN40">
        <v>1</v>
      </c>
      <c r="AO40">
        <v>0</v>
      </c>
      <c r="AP40" t="s">
        <v>1051</v>
      </c>
      <c r="AR40" t="s">
        <v>127</v>
      </c>
      <c r="AS40">
        <v>3192</v>
      </c>
      <c r="AU40">
        <v>0</v>
      </c>
      <c r="AV40">
        <v>0</v>
      </c>
      <c r="AW40">
        <v>0</v>
      </c>
      <c r="AX40">
        <v>3192</v>
      </c>
      <c r="AY40">
        <v>177.33333333333303</v>
      </c>
      <c r="AZ40">
        <v>0</v>
      </c>
      <c r="BC40">
        <v>-3014.666666666667</v>
      </c>
      <c r="BE40" t="s">
        <v>114</v>
      </c>
      <c r="BH40">
        <v>-177.33333333333303</v>
      </c>
      <c r="BI40">
        <v>-14.777777777777752</v>
      </c>
      <c r="BK40" t="s">
        <v>116</v>
      </c>
      <c r="BL40">
        <v>0</v>
      </c>
      <c r="BM40">
        <v>-3192</v>
      </c>
      <c r="BR40">
        <v>0</v>
      </c>
      <c r="BS40">
        <v>0</v>
      </c>
      <c r="BW40" t="s">
        <v>167</v>
      </c>
      <c r="BX40" t="s">
        <v>168</v>
      </c>
      <c r="BZ40" t="s">
        <v>941</v>
      </c>
    </row>
    <row r="41" spans="1:78">
      <c r="A41" t="s">
        <v>215</v>
      </c>
      <c r="B41" t="s">
        <v>869</v>
      </c>
      <c r="C41" t="s">
        <v>54</v>
      </c>
      <c r="D41" t="s">
        <v>1</v>
      </c>
      <c r="E41" t="s">
        <v>115</v>
      </c>
      <c r="F41" t="s">
        <v>99</v>
      </c>
      <c r="G41" t="s">
        <v>100</v>
      </c>
      <c r="H41" t="s">
        <v>128</v>
      </c>
      <c r="I41" t="s">
        <v>100</v>
      </c>
      <c r="J41" t="s">
        <v>101</v>
      </c>
      <c r="K41" t="s">
        <v>559</v>
      </c>
      <c r="L41" t="s">
        <v>559</v>
      </c>
      <c r="M41" t="s">
        <v>100</v>
      </c>
      <c r="N41" t="s">
        <v>451</v>
      </c>
      <c r="O41" t="s">
        <v>100</v>
      </c>
      <c r="Q41" t="s">
        <v>451</v>
      </c>
      <c r="R41" t="s">
        <v>119</v>
      </c>
      <c r="S41" t="s">
        <v>130</v>
      </c>
      <c r="T41" t="s">
        <v>120</v>
      </c>
      <c r="U41" t="s">
        <v>101</v>
      </c>
      <c r="V41" t="s">
        <v>121</v>
      </c>
      <c r="W41" t="s">
        <v>122</v>
      </c>
      <c r="X41" t="s">
        <v>123</v>
      </c>
      <c r="Y41">
        <v>1</v>
      </c>
      <c r="Z41" t="s">
        <v>562</v>
      </c>
      <c r="AA41" s="280">
        <v>38607</v>
      </c>
      <c r="AB41" t="s">
        <v>114</v>
      </c>
      <c r="AC41" t="s">
        <v>124</v>
      </c>
      <c r="AD41" s="280">
        <v>44651</v>
      </c>
      <c r="AE41" t="s">
        <v>125</v>
      </c>
      <c r="AF41">
        <v>6</v>
      </c>
      <c r="AG41">
        <v>0</v>
      </c>
      <c r="AH41">
        <v>0</v>
      </c>
      <c r="AI41" t="s">
        <v>126</v>
      </c>
      <c r="AL41">
        <v>1</v>
      </c>
      <c r="AN41">
        <v>1</v>
      </c>
      <c r="AO41">
        <v>0</v>
      </c>
      <c r="AP41" t="s">
        <v>1050</v>
      </c>
      <c r="AR41" t="s">
        <v>127</v>
      </c>
      <c r="AS41">
        <v>3192</v>
      </c>
      <c r="AU41">
        <v>0</v>
      </c>
      <c r="AV41">
        <v>0</v>
      </c>
      <c r="AW41">
        <v>0</v>
      </c>
      <c r="AX41">
        <v>3192</v>
      </c>
      <c r="AY41">
        <v>177.33333333333303</v>
      </c>
      <c r="AZ41">
        <v>0</v>
      </c>
      <c r="BC41">
        <v>-3014.666666666667</v>
      </c>
      <c r="BE41" t="s">
        <v>114</v>
      </c>
      <c r="BH41">
        <v>-177.33333333333303</v>
      </c>
      <c r="BI41">
        <v>-14.777777777777752</v>
      </c>
      <c r="BK41" t="s">
        <v>116</v>
      </c>
      <c r="BL41">
        <v>0</v>
      </c>
      <c r="BM41">
        <v>-3192</v>
      </c>
      <c r="BR41">
        <v>0</v>
      </c>
      <c r="BS41">
        <v>0</v>
      </c>
      <c r="BW41" t="s">
        <v>167</v>
      </c>
      <c r="BX41" t="s">
        <v>168</v>
      </c>
      <c r="BZ41" t="s">
        <v>958</v>
      </c>
    </row>
    <row r="42" spans="1:78">
      <c r="A42" t="s">
        <v>216</v>
      </c>
      <c r="B42" t="s">
        <v>859</v>
      </c>
      <c r="C42" t="s">
        <v>54</v>
      </c>
      <c r="D42" t="s">
        <v>1</v>
      </c>
      <c r="E42" t="s">
        <v>115</v>
      </c>
      <c r="F42" t="s">
        <v>99</v>
      </c>
      <c r="G42" t="s">
        <v>100</v>
      </c>
      <c r="H42" t="s">
        <v>128</v>
      </c>
      <c r="I42" t="s">
        <v>100</v>
      </c>
      <c r="J42" t="s">
        <v>101</v>
      </c>
      <c r="K42" t="s">
        <v>559</v>
      </c>
      <c r="L42" t="s">
        <v>559</v>
      </c>
      <c r="M42" t="s">
        <v>100</v>
      </c>
      <c r="N42" t="s">
        <v>451</v>
      </c>
      <c r="O42" t="s">
        <v>100</v>
      </c>
      <c r="Q42" t="s">
        <v>451</v>
      </c>
      <c r="R42" t="s">
        <v>119</v>
      </c>
      <c r="S42" t="s">
        <v>130</v>
      </c>
      <c r="T42" t="s">
        <v>120</v>
      </c>
      <c r="U42" t="s">
        <v>101</v>
      </c>
      <c r="V42" t="s">
        <v>121</v>
      </c>
      <c r="W42" t="s">
        <v>122</v>
      </c>
      <c r="X42" t="s">
        <v>123</v>
      </c>
      <c r="Y42">
        <v>1</v>
      </c>
      <c r="Z42" t="s">
        <v>562</v>
      </c>
      <c r="AA42" s="280">
        <v>38607</v>
      </c>
      <c r="AB42" t="s">
        <v>114</v>
      </c>
      <c r="AC42" t="s">
        <v>124</v>
      </c>
      <c r="AD42" s="280">
        <v>44651</v>
      </c>
      <c r="AE42" t="s">
        <v>125</v>
      </c>
      <c r="AF42">
        <v>6</v>
      </c>
      <c r="AG42">
        <v>0</v>
      </c>
      <c r="AH42">
        <v>0</v>
      </c>
      <c r="AI42" t="s">
        <v>126</v>
      </c>
      <c r="AL42">
        <v>1</v>
      </c>
      <c r="AN42">
        <v>1</v>
      </c>
      <c r="AO42">
        <v>0</v>
      </c>
      <c r="AP42" t="s">
        <v>1050</v>
      </c>
      <c r="AR42" t="s">
        <v>127</v>
      </c>
      <c r="AS42">
        <v>3192</v>
      </c>
      <c r="AU42">
        <v>0</v>
      </c>
      <c r="AV42">
        <v>0</v>
      </c>
      <c r="AW42">
        <v>0</v>
      </c>
      <c r="AX42">
        <v>3192</v>
      </c>
      <c r="AY42">
        <v>177.33333333333303</v>
      </c>
      <c r="AZ42">
        <v>0</v>
      </c>
      <c r="BC42">
        <v>-3014.666666666667</v>
      </c>
      <c r="BE42" t="s">
        <v>114</v>
      </c>
      <c r="BH42">
        <v>-177.33333333333303</v>
      </c>
      <c r="BI42">
        <v>-14.777777777777752</v>
      </c>
      <c r="BK42" t="s">
        <v>116</v>
      </c>
      <c r="BL42">
        <v>0</v>
      </c>
      <c r="BM42">
        <v>-3192</v>
      </c>
      <c r="BR42">
        <v>0</v>
      </c>
      <c r="BS42">
        <v>0</v>
      </c>
      <c r="BW42" t="s">
        <v>167</v>
      </c>
      <c r="BX42" t="s">
        <v>168</v>
      </c>
      <c r="BZ42" t="s">
        <v>944</v>
      </c>
    </row>
    <row r="43" spans="1:78">
      <c r="A43" t="s">
        <v>217</v>
      </c>
      <c r="B43" t="s">
        <v>874</v>
      </c>
      <c r="C43" t="s">
        <v>54</v>
      </c>
      <c r="D43" t="s">
        <v>1</v>
      </c>
      <c r="E43" t="s">
        <v>115</v>
      </c>
      <c r="F43" t="s">
        <v>99</v>
      </c>
      <c r="G43" t="s">
        <v>100</v>
      </c>
      <c r="H43" t="s">
        <v>128</v>
      </c>
      <c r="I43" t="s">
        <v>100</v>
      </c>
      <c r="J43" t="s">
        <v>101</v>
      </c>
      <c r="K43" t="s">
        <v>559</v>
      </c>
      <c r="L43" t="s">
        <v>559</v>
      </c>
      <c r="M43" t="s">
        <v>100</v>
      </c>
      <c r="N43" t="s">
        <v>451</v>
      </c>
      <c r="O43" t="s">
        <v>100</v>
      </c>
      <c r="Q43" t="s">
        <v>451</v>
      </c>
      <c r="R43" t="s">
        <v>119</v>
      </c>
      <c r="S43" t="s">
        <v>130</v>
      </c>
      <c r="T43" t="s">
        <v>120</v>
      </c>
      <c r="U43" t="s">
        <v>101</v>
      </c>
      <c r="V43" t="s">
        <v>121</v>
      </c>
      <c r="W43" t="s">
        <v>122</v>
      </c>
      <c r="X43" t="s">
        <v>123</v>
      </c>
      <c r="Y43">
        <v>1</v>
      </c>
      <c r="Z43" t="s">
        <v>562</v>
      </c>
      <c r="AA43" s="280">
        <v>38607</v>
      </c>
      <c r="AB43" t="s">
        <v>114</v>
      </c>
      <c r="AC43" t="s">
        <v>124</v>
      </c>
      <c r="AD43" s="280">
        <v>44651</v>
      </c>
      <c r="AE43" t="s">
        <v>125</v>
      </c>
      <c r="AF43">
        <v>6</v>
      </c>
      <c r="AG43">
        <v>0</v>
      </c>
      <c r="AH43">
        <v>0</v>
      </c>
      <c r="AI43" t="s">
        <v>126</v>
      </c>
      <c r="AL43">
        <v>1</v>
      </c>
      <c r="AN43">
        <v>1</v>
      </c>
      <c r="AO43">
        <v>0</v>
      </c>
      <c r="AP43" t="s">
        <v>1050</v>
      </c>
      <c r="AR43" t="s">
        <v>127</v>
      </c>
      <c r="AS43">
        <v>3192</v>
      </c>
      <c r="AU43">
        <v>0</v>
      </c>
      <c r="AV43">
        <v>0</v>
      </c>
      <c r="AW43">
        <v>0</v>
      </c>
      <c r="AX43">
        <v>3192</v>
      </c>
      <c r="AY43">
        <v>177.33333333333303</v>
      </c>
      <c r="AZ43">
        <v>0</v>
      </c>
      <c r="BC43">
        <v>-3014.666666666667</v>
      </c>
      <c r="BE43" t="s">
        <v>114</v>
      </c>
      <c r="BH43">
        <v>-177.33333333333303</v>
      </c>
      <c r="BI43">
        <v>-14.777777777777752</v>
      </c>
      <c r="BK43" t="s">
        <v>116</v>
      </c>
      <c r="BL43">
        <v>0</v>
      </c>
      <c r="BM43">
        <v>-3192</v>
      </c>
      <c r="BR43">
        <v>0</v>
      </c>
      <c r="BS43">
        <v>0</v>
      </c>
      <c r="BW43" t="s">
        <v>167</v>
      </c>
      <c r="BX43" t="s">
        <v>168</v>
      </c>
      <c r="BZ43" t="s">
        <v>959</v>
      </c>
    </row>
    <row r="44" spans="1:78">
      <c r="A44" t="s">
        <v>218</v>
      </c>
      <c r="B44" t="s">
        <v>851</v>
      </c>
      <c r="C44" t="s">
        <v>54</v>
      </c>
      <c r="D44" t="s">
        <v>1</v>
      </c>
      <c r="E44" t="s">
        <v>115</v>
      </c>
      <c r="F44" t="s">
        <v>99</v>
      </c>
      <c r="G44" t="s">
        <v>100</v>
      </c>
      <c r="H44" t="s">
        <v>128</v>
      </c>
      <c r="I44" t="s">
        <v>100</v>
      </c>
      <c r="J44" t="s">
        <v>101</v>
      </c>
      <c r="K44" t="s">
        <v>559</v>
      </c>
      <c r="L44" t="s">
        <v>559</v>
      </c>
      <c r="M44" t="s">
        <v>100</v>
      </c>
      <c r="N44" t="s">
        <v>453</v>
      </c>
      <c r="O44" t="s">
        <v>100</v>
      </c>
      <c r="Q44" t="s">
        <v>453</v>
      </c>
      <c r="R44" t="s">
        <v>119</v>
      </c>
      <c r="S44" t="s">
        <v>130</v>
      </c>
      <c r="T44" t="s">
        <v>120</v>
      </c>
      <c r="U44" t="s">
        <v>101</v>
      </c>
      <c r="V44" t="s">
        <v>121</v>
      </c>
      <c r="W44" t="s">
        <v>122</v>
      </c>
      <c r="X44" t="s">
        <v>123</v>
      </c>
      <c r="Y44">
        <v>1</v>
      </c>
      <c r="Z44" t="s">
        <v>563</v>
      </c>
      <c r="AA44" s="280">
        <v>38609</v>
      </c>
      <c r="AB44" t="s">
        <v>114</v>
      </c>
      <c r="AC44" t="s">
        <v>124</v>
      </c>
      <c r="AD44" s="280">
        <v>44651</v>
      </c>
      <c r="AE44" t="s">
        <v>125</v>
      </c>
      <c r="AF44">
        <v>6</v>
      </c>
      <c r="AG44">
        <v>0</v>
      </c>
      <c r="AH44">
        <v>0</v>
      </c>
      <c r="AI44" t="s">
        <v>126</v>
      </c>
      <c r="AL44">
        <v>1</v>
      </c>
      <c r="AN44">
        <v>1</v>
      </c>
      <c r="AO44">
        <v>0</v>
      </c>
      <c r="AP44" t="s">
        <v>1050</v>
      </c>
      <c r="AR44" t="s">
        <v>127</v>
      </c>
      <c r="AS44">
        <v>1368</v>
      </c>
      <c r="AU44">
        <v>0</v>
      </c>
      <c r="AV44">
        <v>0</v>
      </c>
      <c r="AW44">
        <v>0</v>
      </c>
      <c r="AX44">
        <v>1368</v>
      </c>
      <c r="AY44">
        <v>76</v>
      </c>
      <c r="AZ44">
        <v>0</v>
      </c>
      <c r="BC44">
        <v>-1292</v>
      </c>
      <c r="BE44" t="s">
        <v>114</v>
      </c>
      <c r="BH44">
        <v>-76</v>
      </c>
      <c r="BI44">
        <v>-6.333333333333333</v>
      </c>
      <c r="BK44" t="s">
        <v>116</v>
      </c>
      <c r="BL44">
        <v>0</v>
      </c>
      <c r="BM44">
        <v>-1368</v>
      </c>
      <c r="BR44">
        <v>0</v>
      </c>
      <c r="BS44">
        <v>0</v>
      </c>
      <c r="BW44" t="s">
        <v>167</v>
      </c>
      <c r="BX44" t="s">
        <v>168</v>
      </c>
      <c r="BZ44" t="s">
        <v>940</v>
      </c>
    </row>
    <row r="45" spans="1:78">
      <c r="A45" t="s">
        <v>219</v>
      </c>
      <c r="B45" t="s">
        <v>876</v>
      </c>
      <c r="C45" t="s">
        <v>54</v>
      </c>
      <c r="D45" t="s">
        <v>1</v>
      </c>
      <c r="E45" t="s">
        <v>115</v>
      </c>
      <c r="F45" t="s">
        <v>99</v>
      </c>
      <c r="G45" t="s">
        <v>100</v>
      </c>
      <c r="H45" t="s">
        <v>128</v>
      </c>
      <c r="I45" t="s">
        <v>100</v>
      </c>
      <c r="J45" t="s">
        <v>101</v>
      </c>
      <c r="K45" t="s">
        <v>559</v>
      </c>
      <c r="L45" t="s">
        <v>559</v>
      </c>
      <c r="M45" t="s">
        <v>100</v>
      </c>
      <c r="N45" t="s">
        <v>454</v>
      </c>
      <c r="O45" t="s">
        <v>100</v>
      </c>
      <c r="Q45" t="s">
        <v>454</v>
      </c>
      <c r="R45" t="s">
        <v>119</v>
      </c>
      <c r="S45" t="s">
        <v>130</v>
      </c>
      <c r="T45" t="s">
        <v>120</v>
      </c>
      <c r="U45" t="s">
        <v>101</v>
      </c>
      <c r="V45" t="s">
        <v>121</v>
      </c>
      <c r="W45" t="s">
        <v>122</v>
      </c>
      <c r="X45" t="s">
        <v>123</v>
      </c>
      <c r="Y45">
        <v>1</v>
      </c>
      <c r="Z45" t="s">
        <v>563</v>
      </c>
      <c r="AA45" s="280">
        <v>38609</v>
      </c>
      <c r="AB45" t="s">
        <v>114</v>
      </c>
      <c r="AC45" t="s">
        <v>124</v>
      </c>
      <c r="AD45" s="280">
        <v>44651</v>
      </c>
      <c r="AE45" t="s">
        <v>125</v>
      </c>
      <c r="AF45">
        <v>6</v>
      </c>
      <c r="AG45">
        <v>0</v>
      </c>
      <c r="AH45">
        <v>0</v>
      </c>
      <c r="AI45" t="s">
        <v>126</v>
      </c>
      <c r="AL45">
        <v>1</v>
      </c>
      <c r="AN45">
        <v>1</v>
      </c>
      <c r="AO45">
        <v>0</v>
      </c>
      <c r="AP45" t="s">
        <v>1050</v>
      </c>
      <c r="AR45" t="s">
        <v>127</v>
      </c>
      <c r="AS45">
        <v>8208</v>
      </c>
      <c r="AU45">
        <v>0</v>
      </c>
      <c r="AV45">
        <v>0</v>
      </c>
      <c r="AW45">
        <v>0</v>
      </c>
      <c r="AX45">
        <v>8208</v>
      </c>
      <c r="AY45">
        <v>456</v>
      </c>
      <c r="AZ45">
        <v>0</v>
      </c>
      <c r="BC45">
        <v>-7752</v>
      </c>
      <c r="BE45" t="s">
        <v>114</v>
      </c>
      <c r="BH45">
        <v>-456</v>
      </c>
      <c r="BI45">
        <v>-38</v>
      </c>
      <c r="BK45" t="s">
        <v>116</v>
      </c>
      <c r="BL45">
        <v>0</v>
      </c>
      <c r="BM45">
        <v>-8208</v>
      </c>
      <c r="BR45">
        <v>0</v>
      </c>
      <c r="BS45">
        <v>0</v>
      </c>
      <c r="BW45" t="s">
        <v>167</v>
      </c>
      <c r="BX45" t="s">
        <v>168</v>
      </c>
      <c r="BZ45" t="s">
        <v>942</v>
      </c>
    </row>
    <row r="46" spans="1:78">
      <c r="A46" t="s">
        <v>220</v>
      </c>
      <c r="B46" t="s">
        <v>877</v>
      </c>
      <c r="C46" t="s">
        <v>54</v>
      </c>
      <c r="D46" t="s">
        <v>1</v>
      </c>
      <c r="E46" t="s">
        <v>115</v>
      </c>
      <c r="F46" t="s">
        <v>99</v>
      </c>
      <c r="G46" t="s">
        <v>100</v>
      </c>
      <c r="H46" t="s">
        <v>128</v>
      </c>
      <c r="I46" t="s">
        <v>100</v>
      </c>
      <c r="J46" t="s">
        <v>101</v>
      </c>
      <c r="K46" t="s">
        <v>559</v>
      </c>
      <c r="L46" t="s">
        <v>559</v>
      </c>
      <c r="M46" t="s">
        <v>100</v>
      </c>
      <c r="N46" t="s">
        <v>455</v>
      </c>
      <c r="O46" t="s">
        <v>100</v>
      </c>
      <c r="Q46" t="s">
        <v>455</v>
      </c>
      <c r="R46" t="s">
        <v>119</v>
      </c>
      <c r="S46" t="s">
        <v>130</v>
      </c>
      <c r="T46" t="s">
        <v>120</v>
      </c>
      <c r="U46" t="s">
        <v>101</v>
      </c>
      <c r="V46" t="s">
        <v>121</v>
      </c>
      <c r="W46" t="s">
        <v>122</v>
      </c>
      <c r="X46" t="s">
        <v>123</v>
      </c>
      <c r="Y46">
        <v>1</v>
      </c>
      <c r="Z46" t="s">
        <v>564</v>
      </c>
      <c r="AA46" s="280">
        <v>38602</v>
      </c>
      <c r="AB46" t="s">
        <v>114</v>
      </c>
      <c r="AC46" t="s">
        <v>124</v>
      </c>
      <c r="AD46" s="280">
        <v>44651</v>
      </c>
      <c r="AE46" t="s">
        <v>125</v>
      </c>
      <c r="AF46">
        <v>6</v>
      </c>
      <c r="AG46">
        <v>0</v>
      </c>
      <c r="AH46">
        <v>0</v>
      </c>
      <c r="AI46" t="s">
        <v>126</v>
      </c>
      <c r="AL46">
        <v>1</v>
      </c>
      <c r="AN46">
        <v>1</v>
      </c>
      <c r="AO46">
        <v>0</v>
      </c>
      <c r="AP46" t="s">
        <v>1050</v>
      </c>
      <c r="AR46" t="s">
        <v>127</v>
      </c>
      <c r="AS46">
        <v>3534</v>
      </c>
      <c r="AU46">
        <v>0</v>
      </c>
      <c r="AV46">
        <v>0</v>
      </c>
      <c r="AW46">
        <v>0</v>
      </c>
      <c r="AX46">
        <v>3534</v>
      </c>
      <c r="AY46">
        <v>196.33333333333303</v>
      </c>
      <c r="AZ46">
        <v>0</v>
      </c>
      <c r="BC46">
        <v>-3337.666666666667</v>
      </c>
      <c r="BE46" t="s">
        <v>114</v>
      </c>
      <c r="BH46">
        <v>-196.33333333333303</v>
      </c>
      <c r="BI46">
        <v>-16.361111111111086</v>
      </c>
      <c r="BK46" t="s">
        <v>116</v>
      </c>
      <c r="BL46">
        <v>0</v>
      </c>
      <c r="BM46">
        <v>-3534</v>
      </c>
      <c r="BR46">
        <v>0</v>
      </c>
      <c r="BS46">
        <v>0</v>
      </c>
      <c r="BW46" t="s">
        <v>167</v>
      </c>
      <c r="BX46" t="s">
        <v>168</v>
      </c>
      <c r="BZ46" t="s">
        <v>944</v>
      </c>
    </row>
    <row r="47" spans="1:78">
      <c r="A47" t="s">
        <v>221</v>
      </c>
      <c r="B47" t="s">
        <v>868</v>
      </c>
      <c r="C47" t="s">
        <v>54</v>
      </c>
      <c r="D47" t="s">
        <v>1</v>
      </c>
      <c r="E47" t="s">
        <v>115</v>
      </c>
      <c r="F47" t="s">
        <v>99</v>
      </c>
      <c r="G47" t="s">
        <v>100</v>
      </c>
      <c r="H47" t="s">
        <v>128</v>
      </c>
      <c r="I47" t="s">
        <v>100</v>
      </c>
      <c r="J47" t="s">
        <v>101</v>
      </c>
      <c r="K47" t="s">
        <v>559</v>
      </c>
      <c r="L47" t="s">
        <v>559</v>
      </c>
      <c r="M47" t="s">
        <v>100</v>
      </c>
      <c r="N47" t="s">
        <v>456</v>
      </c>
      <c r="O47" t="s">
        <v>100</v>
      </c>
      <c r="Q47" t="s">
        <v>456</v>
      </c>
      <c r="R47" t="s">
        <v>119</v>
      </c>
      <c r="S47" t="s">
        <v>130</v>
      </c>
      <c r="T47" t="s">
        <v>120</v>
      </c>
      <c r="U47" t="s">
        <v>101</v>
      </c>
      <c r="V47" t="s">
        <v>121</v>
      </c>
      <c r="W47" t="s">
        <v>122</v>
      </c>
      <c r="X47" t="s">
        <v>123</v>
      </c>
      <c r="Y47">
        <v>1</v>
      </c>
      <c r="Z47" t="s">
        <v>564</v>
      </c>
      <c r="AA47" s="280">
        <v>38602</v>
      </c>
      <c r="AB47" t="s">
        <v>114</v>
      </c>
      <c r="AC47" t="s">
        <v>124</v>
      </c>
      <c r="AD47" s="280">
        <v>44651</v>
      </c>
      <c r="AE47" t="s">
        <v>125</v>
      </c>
      <c r="AF47">
        <v>6</v>
      </c>
      <c r="AG47">
        <v>0</v>
      </c>
      <c r="AH47">
        <v>0</v>
      </c>
      <c r="AI47" t="s">
        <v>126</v>
      </c>
      <c r="AL47">
        <v>1</v>
      </c>
      <c r="AN47">
        <v>1</v>
      </c>
      <c r="AO47">
        <v>0</v>
      </c>
      <c r="AP47" t="s">
        <v>1050</v>
      </c>
      <c r="AR47" t="s">
        <v>127</v>
      </c>
      <c r="AS47">
        <v>3534</v>
      </c>
      <c r="AU47">
        <v>0</v>
      </c>
      <c r="AV47">
        <v>0</v>
      </c>
      <c r="AW47">
        <v>0</v>
      </c>
      <c r="AX47">
        <v>3534</v>
      </c>
      <c r="AY47">
        <v>196.33333333333303</v>
      </c>
      <c r="AZ47">
        <v>0</v>
      </c>
      <c r="BC47">
        <v>-3337.666666666667</v>
      </c>
      <c r="BE47" t="s">
        <v>114</v>
      </c>
      <c r="BH47">
        <v>-196.33333333333303</v>
      </c>
      <c r="BI47">
        <v>-16.361111111111086</v>
      </c>
      <c r="BK47" t="s">
        <v>116</v>
      </c>
      <c r="BL47">
        <v>0</v>
      </c>
      <c r="BM47">
        <v>-3534</v>
      </c>
      <c r="BR47">
        <v>0</v>
      </c>
      <c r="BS47">
        <v>0</v>
      </c>
      <c r="BW47" t="s">
        <v>167</v>
      </c>
      <c r="BX47" t="s">
        <v>168</v>
      </c>
      <c r="BZ47" t="s">
        <v>961</v>
      </c>
    </row>
    <row r="48" spans="1:78">
      <c r="A48" t="s">
        <v>222</v>
      </c>
      <c r="B48" t="s">
        <v>878</v>
      </c>
      <c r="C48" t="s">
        <v>54</v>
      </c>
      <c r="D48" t="s">
        <v>1</v>
      </c>
      <c r="E48" t="s">
        <v>115</v>
      </c>
      <c r="F48" t="s">
        <v>99</v>
      </c>
      <c r="G48" t="s">
        <v>100</v>
      </c>
      <c r="H48" t="s">
        <v>128</v>
      </c>
      <c r="I48" t="s">
        <v>100</v>
      </c>
      <c r="J48" t="s">
        <v>101</v>
      </c>
      <c r="K48" t="s">
        <v>559</v>
      </c>
      <c r="L48" t="s">
        <v>559</v>
      </c>
      <c r="M48" t="s">
        <v>100</v>
      </c>
      <c r="N48" t="s">
        <v>455</v>
      </c>
      <c r="O48" t="s">
        <v>100</v>
      </c>
      <c r="Q48" t="s">
        <v>455</v>
      </c>
      <c r="R48" t="s">
        <v>119</v>
      </c>
      <c r="S48" t="s">
        <v>130</v>
      </c>
      <c r="T48" t="s">
        <v>120</v>
      </c>
      <c r="U48" t="s">
        <v>101</v>
      </c>
      <c r="V48" t="s">
        <v>121</v>
      </c>
      <c r="W48" t="s">
        <v>122</v>
      </c>
      <c r="X48" t="s">
        <v>123</v>
      </c>
      <c r="Y48">
        <v>1</v>
      </c>
      <c r="Z48" t="s">
        <v>564</v>
      </c>
      <c r="AA48" s="280">
        <v>38602</v>
      </c>
      <c r="AB48" t="s">
        <v>114</v>
      </c>
      <c r="AC48" t="s">
        <v>124</v>
      </c>
      <c r="AD48" s="280">
        <v>44651</v>
      </c>
      <c r="AE48" t="s">
        <v>125</v>
      </c>
      <c r="AF48">
        <v>6</v>
      </c>
      <c r="AG48">
        <v>0</v>
      </c>
      <c r="AH48">
        <v>0</v>
      </c>
      <c r="AI48" t="s">
        <v>126</v>
      </c>
      <c r="AL48">
        <v>1</v>
      </c>
      <c r="AN48">
        <v>1</v>
      </c>
      <c r="AO48">
        <v>0</v>
      </c>
      <c r="AP48" t="s">
        <v>1051</v>
      </c>
      <c r="AR48" t="s">
        <v>127</v>
      </c>
      <c r="AS48">
        <v>3534</v>
      </c>
      <c r="AU48">
        <v>0</v>
      </c>
      <c r="AV48">
        <v>0</v>
      </c>
      <c r="AW48">
        <v>0</v>
      </c>
      <c r="AX48">
        <v>3534</v>
      </c>
      <c r="AY48">
        <v>196.33333333333303</v>
      </c>
      <c r="AZ48">
        <v>0</v>
      </c>
      <c r="BC48">
        <v>-3337.666666666667</v>
      </c>
      <c r="BE48" t="s">
        <v>114</v>
      </c>
      <c r="BH48">
        <v>-196.33333333333303</v>
      </c>
      <c r="BI48">
        <v>-16.361111111111086</v>
      </c>
      <c r="BK48" t="s">
        <v>116</v>
      </c>
      <c r="BL48">
        <v>0</v>
      </c>
      <c r="BM48">
        <v>-3534</v>
      </c>
      <c r="BR48">
        <v>0</v>
      </c>
      <c r="BS48">
        <v>0</v>
      </c>
      <c r="BW48" t="s">
        <v>167</v>
      </c>
      <c r="BX48" t="s">
        <v>168</v>
      </c>
      <c r="BZ48" t="s">
        <v>962</v>
      </c>
    </row>
    <row r="49" spans="1:78">
      <c r="A49" t="s">
        <v>223</v>
      </c>
      <c r="B49" t="s">
        <v>851</v>
      </c>
      <c r="C49" t="s">
        <v>54</v>
      </c>
      <c r="D49" t="s">
        <v>1</v>
      </c>
      <c r="E49" t="s">
        <v>115</v>
      </c>
      <c r="F49" t="s">
        <v>99</v>
      </c>
      <c r="G49" t="s">
        <v>100</v>
      </c>
      <c r="H49" t="s">
        <v>128</v>
      </c>
      <c r="I49" t="s">
        <v>100</v>
      </c>
      <c r="J49" t="s">
        <v>101</v>
      </c>
      <c r="K49" t="s">
        <v>559</v>
      </c>
      <c r="L49" t="s">
        <v>559</v>
      </c>
      <c r="M49" t="s">
        <v>100</v>
      </c>
      <c r="N49" t="s">
        <v>456</v>
      </c>
      <c r="O49" t="s">
        <v>100</v>
      </c>
      <c r="Q49" t="s">
        <v>456</v>
      </c>
      <c r="R49" t="s">
        <v>119</v>
      </c>
      <c r="S49" t="s">
        <v>130</v>
      </c>
      <c r="T49" t="s">
        <v>120</v>
      </c>
      <c r="U49" t="s">
        <v>101</v>
      </c>
      <c r="V49" t="s">
        <v>121</v>
      </c>
      <c r="W49" t="s">
        <v>122</v>
      </c>
      <c r="X49" t="s">
        <v>123</v>
      </c>
      <c r="Y49">
        <v>1</v>
      </c>
      <c r="Z49" t="s">
        <v>564</v>
      </c>
      <c r="AA49" s="280">
        <v>38602</v>
      </c>
      <c r="AB49" t="s">
        <v>114</v>
      </c>
      <c r="AC49" t="s">
        <v>124</v>
      </c>
      <c r="AD49" s="280">
        <v>44651</v>
      </c>
      <c r="AE49" t="s">
        <v>125</v>
      </c>
      <c r="AF49">
        <v>6</v>
      </c>
      <c r="AG49">
        <v>0</v>
      </c>
      <c r="AH49">
        <v>0</v>
      </c>
      <c r="AI49" t="s">
        <v>126</v>
      </c>
      <c r="AL49">
        <v>1</v>
      </c>
      <c r="AN49">
        <v>1</v>
      </c>
      <c r="AO49">
        <v>0</v>
      </c>
      <c r="AP49" t="s">
        <v>1050</v>
      </c>
      <c r="AR49" t="s">
        <v>127</v>
      </c>
      <c r="AS49">
        <v>3534</v>
      </c>
      <c r="AU49">
        <v>0</v>
      </c>
      <c r="AV49">
        <v>0</v>
      </c>
      <c r="AW49">
        <v>0</v>
      </c>
      <c r="AX49">
        <v>3534</v>
      </c>
      <c r="AY49">
        <v>196.33333333333303</v>
      </c>
      <c r="AZ49">
        <v>0</v>
      </c>
      <c r="BC49">
        <v>-3337.666666666667</v>
      </c>
      <c r="BE49" t="s">
        <v>114</v>
      </c>
      <c r="BH49">
        <v>-196.33333333333303</v>
      </c>
      <c r="BI49">
        <v>-16.361111111111086</v>
      </c>
      <c r="BK49" t="s">
        <v>116</v>
      </c>
      <c r="BL49">
        <v>0</v>
      </c>
      <c r="BM49">
        <v>-3534</v>
      </c>
      <c r="BR49">
        <v>0</v>
      </c>
      <c r="BS49">
        <v>0</v>
      </c>
      <c r="BW49" t="s">
        <v>167</v>
      </c>
      <c r="BX49" t="s">
        <v>168</v>
      </c>
      <c r="BZ49" t="s">
        <v>963</v>
      </c>
    </row>
    <row r="50" spans="1:78">
      <c r="A50" t="s">
        <v>224</v>
      </c>
      <c r="B50" t="s">
        <v>872</v>
      </c>
      <c r="C50" t="s">
        <v>54</v>
      </c>
      <c r="D50" t="s">
        <v>1</v>
      </c>
      <c r="E50" t="s">
        <v>115</v>
      </c>
      <c r="F50" t="s">
        <v>99</v>
      </c>
      <c r="G50" t="s">
        <v>100</v>
      </c>
      <c r="H50" t="s">
        <v>128</v>
      </c>
      <c r="I50" t="s">
        <v>100</v>
      </c>
      <c r="J50" t="s">
        <v>101</v>
      </c>
      <c r="K50" t="s">
        <v>559</v>
      </c>
      <c r="L50" t="s">
        <v>559</v>
      </c>
      <c r="M50" t="s">
        <v>100</v>
      </c>
      <c r="N50" t="s">
        <v>456</v>
      </c>
      <c r="O50" t="s">
        <v>100</v>
      </c>
      <c r="Q50" t="s">
        <v>456</v>
      </c>
      <c r="R50" t="s">
        <v>119</v>
      </c>
      <c r="S50" t="s">
        <v>130</v>
      </c>
      <c r="T50" t="s">
        <v>120</v>
      </c>
      <c r="U50" t="s">
        <v>101</v>
      </c>
      <c r="V50" t="s">
        <v>121</v>
      </c>
      <c r="W50" t="s">
        <v>122</v>
      </c>
      <c r="X50" t="s">
        <v>123</v>
      </c>
      <c r="Y50">
        <v>1</v>
      </c>
      <c r="Z50" t="s">
        <v>564</v>
      </c>
      <c r="AA50" s="280">
        <v>38602</v>
      </c>
      <c r="AB50" t="s">
        <v>114</v>
      </c>
      <c r="AC50" t="s">
        <v>124</v>
      </c>
      <c r="AD50" s="280">
        <v>44651</v>
      </c>
      <c r="AE50" t="s">
        <v>125</v>
      </c>
      <c r="AF50">
        <v>6</v>
      </c>
      <c r="AG50">
        <v>0</v>
      </c>
      <c r="AH50">
        <v>0</v>
      </c>
      <c r="AI50" t="s">
        <v>126</v>
      </c>
      <c r="AL50">
        <v>1</v>
      </c>
      <c r="AN50">
        <v>1</v>
      </c>
      <c r="AO50">
        <v>0</v>
      </c>
      <c r="AP50" t="s">
        <v>1050</v>
      </c>
      <c r="AR50" t="s">
        <v>127</v>
      </c>
      <c r="AS50">
        <v>3534</v>
      </c>
      <c r="AU50">
        <v>0</v>
      </c>
      <c r="AV50">
        <v>0</v>
      </c>
      <c r="AW50">
        <v>0</v>
      </c>
      <c r="AX50">
        <v>3534</v>
      </c>
      <c r="AY50">
        <v>196.33333333333303</v>
      </c>
      <c r="AZ50">
        <v>0</v>
      </c>
      <c r="BC50">
        <v>-3337.666666666667</v>
      </c>
      <c r="BE50" t="s">
        <v>114</v>
      </c>
      <c r="BH50">
        <v>-196.33333333333303</v>
      </c>
      <c r="BI50">
        <v>-16.361111111111086</v>
      </c>
      <c r="BK50" t="s">
        <v>116</v>
      </c>
      <c r="BL50">
        <v>0</v>
      </c>
      <c r="BM50">
        <v>-3534</v>
      </c>
      <c r="BR50">
        <v>0</v>
      </c>
      <c r="BS50">
        <v>0</v>
      </c>
      <c r="BW50" t="s">
        <v>167</v>
      </c>
      <c r="BX50" t="s">
        <v>168</v>
      </c>
      <c r="BZ50" t="s">
        <v>956</v>
      </c>
    </row>
    <row r="51" spans="1:78">
      <c r="A51" t="s">
        <v>225</v>
      </c>
      <c r="B51" t="s">
        <v>879</v>
      </c>
      <c r="C51" t="s">
        <v>54</v>
      </c>
      <c r="D51" t="s">
        <v>1</v>
      </c>
      <c r="E51" t="s">
        <v>115</v>
      </c>
      <c r="F51" t="s">
        <v>99</v>
      </c>
      <c r="G51" t="s">
        <v>100</v>
      </c>
      <c r="H51" t="s">
        <v>128</v>
      </c>
      <c r="I51" t="s">
        <v>100</v>
      </c>
      <c r="J51" t="s">
        <v>101</v>
      </c>
      <c r="K51" t="s">
        <v>559</v>
      </c>
      <c r="L51" t="s">
        <v>559</v>
      </c>
      <c r="M51" t="s">
        <v>100</v>
      </c>
      <c r="N51" t="s">
        <v>456</v>
      </c>
      <c r="O51" t="s">
        <v>100</v>
      </c>
      <c r="Q51" t="s">
        <v>456</v>
      </c>
      <c r="R51" t="s">
        <v>119</v>
      </c>
      <c r="S51" t="s">
        <v>130</v>
      </c>
      <c r="T51" t="s">
        <v>120</v>
      </c>
      <c r="U51" t="s">
        <v>101</v>
      </c>
      <c r="V51" t="s">
        <v>121</v>
      </c>
      <c r="W51" t="s">
        <v>122</v>
      </c>
      <c r="X51" t="s">
        <v>123</v>
      </c>
      <c r="Y51">
        <v>1</v>
      </c>
      <c r="Z51" t="s">
        <v>564</v>
      </c>
      <c r="AA51" s="280">
        <v>38602</v>
      </c>
      <c r="AB51" t="s">
        <v>114</v>
      </c>
      <c r="AC51" t="s">
        <v>124</v>
      </c>
      <c r="AD51" s="280">
        <v>44651</v>
      </c>
      <c r="AE51" t="s">
        <v>125</v>
      </c>
      <c r="AF51">
        <v>6</v>
      </c>
      <c r="AG51">
        <v>0</v>
      </c>
      <c r="AH51">
        <v>0</v>
      </c>
      <c r="AI51" t="s">
        <v>126</v>
      </c>
      <c r="AL51">
        <v>1</v>
      </c>
      <c r="AN51">
        <v>1</v>
      </c>
      <c r="AO51">
        <v>0</v>
      </c>
      <c r="AP51" t="s">
        <v>1051</v>
      </c>
      <c r="AR51" t="s">
        <v>127</v>
      </c>
      <c r="AS51">
        <v>3534</v>
      </c>
      <c r="AU51">
        <v>0</v>
      </c>
      <c r="AV51">
        <v>0</v>
      </c>
      <c r="AW51">
        <v>0</v>
      </c>
      <c r="AX51">
        <v>3534</v>
      </c>
      <c r="AY51">
        <v>196.33333333333303</v>
      </c>
      <c r="AZ51">
        <v>0</v>
      </c>
      <c r="BC51">
        <v>-3337.666666666667</v>
      </c>
      <c r="BE51" t="s">
        <v>114</v>
      </c>
      <c r="BH51">
        <v>-196.33333333333303</v>
      </c>
      <c r="BI51">
        <v>-16.361111111111086</v>
      </c>
      <c r="BK51" t="s">
        <v>116</v>
      </c>
      <c r="BL51">
        <v>0</v>
      </c>
      <c r="BM51">
        <v>-3534</v>
      </c>
      <c r="BR51">
        <v>0</v>
      </c>
      <c r="BS51">
        <v>0</v>
      </c>
      <c r="BW51" t="s">
        <v>167</v>
      </c>
      <c r="BX51" t="s">
        <v>168</v>
      </c>
      <c r="BZ51" t="s">
        <v>964</v>
      </c>
    </row>
    <row r="52" spans="1:78">
      <c r="A52" t="s">
        <v>226</v>
      </c>
      <c r="B52" t="s">
        <v>851</v>
      </c>
      <c r="C52" t="s">
        <v>54</v>
      </c>
      <c r="D52" t="s">
        <v>1</v>
      </c>
      <c r="E52" t="s">
        <v>115</v>
      </c>
      <c r="F52" t="s">
        <v>99</v>
      </c>
      <c r="G52" t="s">
        <v>100</v>
      </c>
      <c r="H52" t="s">
        <v>128</v>
      </c>
      <c r="I52" t="s">
        <v>100</v>
      </c>
      <c r="J52" t="s">
        <v>101</v>
      </c>
      <c r="K52" t="s">
        <v>559</v>
      </c>
      <c r="L52" t="s">
        <v>559</v>
      </c>
      <c r="M52" t="s">
        <v>100</v>
      </c>
      <c r="N52" t="s">
        <v>456</v>
      </c>
      <c r="O52" t="s">
        <v>100</v>
      </c>
      <c r="Q52" t="s">
        <v>456</v>
      </c>
      <c r="R52" t="s">
        <v>119</v>
      </c>
      <c r="S52" t="s">
        <v>130</v>
      </c>
      <c r="T52" t="s">
        <v>120</v>
      </c>
      <c r="U52" t="s">
        <v>101</v>
      </c>
      <c r="V52" t="s">
        <v>121</v>
      </c>
      <c r="W52" t="s">
        <v>122</v>
      </c>
      <c r="X52" t="s">
        <v>123</v>
      </c>
      <c r="Y52">
        <v>1</v>
      </c>
      <c r="Z52" t="s">
        <v>564</v>
      </c>
      <c r="AA52" s="280">
        <v>38602</v>
      </c>
      <c r="AB52" t="s">
        <v>114</v>
      </c>
      <c r="AC52" t="s">
        <v>124</v>
      </c>
      <c r="AD52" s="280">
        <v>44651</v>
      </c>
      <c r="AE52" t="s">
        <v>125</v>
      </c>
      <c r="AF52">
        <v>6</v>
      </c>
      <c r="AG52">
        <v>0</v>
      </c>
      <c r="AH52">
        <v>0</v>
      </c>
      <c r="AI52" t="s">
        <v>126</v>
      </c>
      <c r="AL52">
        <v>1</v>
      </c>
      <c r="AN52">
        <v>1</v>
      </c>
      <c r="AO52">
        <v>0</v>
      </c>
      <c r="AP52" t="s">
        <v>1050</v>
      </c>
      <c r="AR52" t="s">
        <v>127</v>
      </c>
      <c r="AS52">
        <v>3534</v>
      </c>
      <c r="AU52">
        <v>0</v>
      </c>
      <c r="AV52">
        <v>0</v>
      </c>
      <c r="AW52">
        <v>0</v>
      </c>
      <c r="AX52">
        <v>3534</v>
      </c>
      <c r="AY52">
        <v>196.33333333333303</v>
      </c>
      <c r="AZ52">
        <v>0</v>
      </c>
      <c r="BC52">
        <v>-3337.666666666667</v>
      </c>
      <c r="BE52" t="s">
        <v>114</v>
      </c>
      <c r="BH52">
        <v>-196.33333333333303</v>
      </c>
      <c r="BI52">
        <v>-16.361111111111086</v>
      </c>
      <c r="BK52" t="s">
        <v>116</v>
      </c>
      <c r="BL52">
        <v>0</v>
      </c>
      <c r="BM52">
        <v>-3534</v>
      </c>
      <c r="BR52">
        <v>0</v>
      </c>
      <c r="BS52">
        <v>0</v>
      </c>
      <c r="BW52" t="s">
        <v>167</v>
      </c>
      <c r="BX52" t="s">
        <v>168</v>
      </c>
      <c r="BZ52" t="s">
        <v>965</v>
      </c>
    </row>
    <row r="53" spans="1:78">
      <c r="A53" t="s">
        <v>227</v>
      </c>
      <c r="B53" t="s">
        <v>851</v>
      </c>
      <c r="C53" t="s">
        <v>54</v>
      </c>
      <c r="D53" t="s">
        <v>1</v>
      </c>
      <c r="E53" t="s">
        <v>115</v>
      </c>
      <c r="F53" t="s">
        <v>99</v>
      </c>
      <c r="G53" t="s">
        <v>100</v>
      </c>
      <c r="H53" t="s">
        <v>128</v>
      </c>
      <c r="I53" t="s">
        <v>100</v>
      </c>
      <c r="J53" t="s">
        <v>101</v>
      </c>
      <c r="K53" t="s">
        <v>559</v>
      </c>
      <c r="L53" t="s">
        <v>559</v>
      </c>
      <c r="M53" t="s">
        <v>100</v>
      </c>
      <c r="N53" t="s">
        <v>455</v>
      </c>
      <c r="O53" t="s">
        <v>100</v>
      </c>
      <c r="Q53" t="s">
        <v>455</v>
      </c>
      <c r="R53" t="s">
        <v>119</v>
      </c>
      <c r="S53" t="s">
        <v>130</v>
      </c>
      <c r="T53" t="s">
        <v>120</v>
      </c>
      <c r="U53" t="s">
        <v>101</v>
      </c>
      <c r="V53" t="s">
        <v>121</v>
      </c>
      <c r="W53" t="s">
        <v>122</v>
      </c>
      <c r="X53" t="s">
        <v>123</v>
      </c>
      <c r="Y53">
        <v>1</v>
      </c>
      <c r="Z53" t="s">
        <v>564</v>
      </c>
      <c r="AA53" s="280">
        <v>38602</v>
      </c>
      <c r="AB53" t="s">
        <v>114</v>
      </c>
      <c r="AC53" t="s">
        <v>124</v>
      </c>
      <c r="AD53" s="280">
        <v>44651</v>
      </c>
      <c r="AE53" t="s">
        <v>125</v>
      </c>
      <c r="AF53">
        <v>6</v>
      </c>
      <c r="AG53">
        <v>0</v>
      </c>
      <c r="AH53">
        <v>0</v>
      </c>
      <c r="AI53" t="s">
        <v>126</v>
      </c>
      <c r="AL53">
        <v>1</v>
      </c>
      <c r="AN53">
        <v>1</v>
      </c>
      <c r="AO53">
        <v>0</v>
      </c>
      <c r="AP53" t="s">
        <v>1051</v>
      </c>
      <c r="AR53" t="s">
        <v>127</v>
      </c>
      <c r="AS53">
        <v>3534</v>
      </c>
      <c r="AU53">
        <v>0</v>
      </c>
      <c r="AV53">
        <v>0</v>
      </c>
      <c r="AW53">
        <v>0</v>
      </c>
      <c r="AX53">
        <v>3534</v>
      </c>
      <c r="AY53">
        <v>196.33333333333303</v>
      </c>
      <c r="AZ53">
        <v>0</v>
      </c>
      <c r="BC53">
        <v>-3337.666666666667</v>
      </c>
      <c r="BE53" t="s">
        <v>114</v>
      </c>
      <c r="BH53">
        <v>-196.33333333333303</v>
      </c>
      <c r="BI53">
        <v>-16.361111111111086</v>
      </c>
      <c r="BK53" t="s">
        <v>116</v>
      </c>
      <c r="BL53">
        <v>0</v>
      </c>
      <c r="BM53">
        <v>-3534</v>
      </c>
      <c r="BR53">
        <v>0</v>
      </c>
      <c r="BS53">
        <v>0</v>
      </c>
      <c r="BW53" t="s">
        <v>167</v>
      </c>
      <c r="BX53" t="s">
        <v>168</v>
      </c>
      <c r="BZ53" t="s">
        <v>966</v>
      </c>
    </row>
    <row r="54" spans="1:78">
      <c r="A54" t="s">
        <v>228</v>
      </c>
      <c r="B54" t="s">
        <v>851</v>
      </c>
      <c r="C54" t="s">
        <v>54</v>
      </c>
      <c r="D54" t="s">
        <v>1</v>
      </c>
      <c r="E54" t="s">
        <v>115</v>
      </c>
      <c r="F54" t="s">
        <v>99</v>
      </c>
      <c r="G54" t="s">
        <v>100</v>
      </c>
      <c r="H54" t="s">
        <v>128</v>
      </c>
      <c r="I54" t="s">
        <v>100</v>
      </c>
      <c r="J54" t="s">
        <v>101</v>
      </c>
      <c r="K54" t="s">
        <v>559</v>
      </c>
      <c r="L54" t="s">
        <v>559</v>
      </c>
      <c r="M54" t="s">
        <v>100</v>
      </c>
      <c r="N54" t="s">
        <v>455</v>
      </c>
      <c r="O54" t="s">
        <v>100</v>
      </c>
      <c r="Q54" t="s">
        <v>455</v>
      </c>
      <c r="R54" t="s">
        <v>119</v>
      </c>
      <c r="S54" t="s">
        <v>130</v>
      </c>
      <c r="T54" t="s">
        <v>120</v>
      </c>
      <c r="U54" t="s">
        <v>101</v>
      </c>
      <c r="V54" t="s">
        <v>121</v>
      </c>
      <c r="W54" t="s">
        <v>122</v>
      </c>
      <c r="X54" t="s">
        <v>123</v>
      </c>
      <c r="Y54">
        <v>1</v>
      </c>
      <c r="Z54" t="s">
        <v>564</v>
      </c>
      <c r="AA54" s="280">
        <v>38602</v>
      </c>
      <c r="AB54" t="s">
        <v>114</v>
      </c>
      <c r="AC54" t="s">
        <v>124</v>
      </c>
      <c r="AD54" s="280">
        <v>44651</v>
      </c>
      <c r="AE54" t="s">
        <v>125</v>
      </c>
      <c r="AF54">
        <v>6</v>
      </c>
      <c r="AG54">
        <v>0</v>
      </c>
      <c r="AH54">
        <v>0</v>
      </c>
      <c r="AI54" t="s">
        <v>126</v>
      </c>
      <c r="AL54">
        <v>1</v>
      </c>
      <c r="AN54">
        <v>1</v>
      </c>
      <c r="AO54">
        <v>0</v>
      </c>
      <c r="AP54" t="s">
        <v>1050</v>
      </c>
      <c r="AR54" t="s">
        <v>127</v>
      </c>
      <c r="AS54">
        <v>3534</v>
      </c>
      <c r="AU54">
        <v>0</v>
      </c>
      <c r="AV54">
        <v>0</v>
      </c>
      <c r="AW54">
        <v>0</v>
      </c>
      <c r="AX54">
        <v>3534</v>
      </c>
      <c r="AY54">
        <v>196.33333333333303</v>
      </c>
      <c r="AZ54">
        <v>0</v>
      </c>
      <c r="BC54">
        <v>-3337.666666666667</v>
      </c>
      <c r="BE54" t="s">
        <v>114</v>
      </c>
      <c r="BH54">
        <v>-196.33333333333303</v>
      </c>
      <c r="BI54">
        <v>-16.361111111111086</v>
      </c>
      <c r="BK54" t="s">
        <v>116</v>
      </c>
      <c r="BL54">
        <v>0</v>
      </c>
      <c r="BM54">
        <v>-3534</v>
      </c>
      <c r="BR54">
        <v>0</v>
      </c>
      <c r="BS54">
        <v>0</v>
      </c>
      <c r="BW54" t="s">
        <v>167</v>
      </c>
      <c r="BX54" t="s">
        <v>168</v>
      </c>
      <c r="BZ54" t="s">
        <v>938</v>
      </c>
    </row>
    <row r="55" spans="1:78">
      <c r="A55" t="s">
        <v>229</v>
      </c>
      <c r="B55" t="s">
        <v>877</v>
      </c>
      <c r="C55" t="s">
        <v>54</v>
      </c>
      <c r="D55" t="s">
        <v>1</v>
      </c>
      <c r="E55" t="s">
        <v>115</v>
      </c>
      <c r="F55" t="s">
        <v>99</v>
      </c>
      <c r="G55" t="s">
        <v>100</v>
      </c>
      <c r="H55" t="s">
        <v>128</v>
      </c>
      <c r="I55" t="s">
        <v>100</v>
      </c>
      <c r="J55" t="s">
        <v>101</v>
      </c>
      <c r="K55" t="s">
        <v>559</v>
      </c>
      <c r="L55" t="s">
        <v>559</v>
      </c>
      <c r="M55" t="s">
        <v>100</v>
      </c>
      <c r="N55" t="s">
        <v>455</v>
      </c>
      <c r="O55" t="s">
        <v>100</v>
      </c>
      <c r="Q55" t="s">
        <v>455</v>
      </c>
      <c r="R55" t="s">
        <v>119</v>
      </c>
      <c r="S55" t="s">
        <v>130</v>
      </c>
      <c r="T55" t="s">
        <v>120</v>
      </c>
      <c r="U55" t="s">
        <v>101</v>
      </c>
      <c r="V55" t="s">
        <v>121</v>
      </c>
      <c r="W55" t="s">
        <v>122</v>
      </c>
      <c r="X55" t="s">
        <v>123</v>
      </c>
      <c r="Y55">
        <v>1</v>
      </c>
      <c r="Z55" t="s">
        <v>564</v>
      </c>
      <c r="AA55" s="280">
        <v>38602</v>
      </c>
      <c r="AB55" t="s">
        <v>114</v>
      </c>
      <c r="AC55" t="s">
        <v>124</v>
      </c>
      <c r="AD55" s="280">
        <v>44651</v>
      </c>
      <c r="AE55" t="s">
        <v>125</v>
      </c>
      <c r="AF55">
        <v>6</v>
      </c>
      <c r="AG55">
        <v>0</v>
      </c>
      <c r="AH55">
        <v>0</v>
      </c>
      <c r="AI55" t="s">
        <v>126</v>
      </c>
      <c r="AL55">
        <v>1</v>
      </c>
      <c r="AN55">
        <v>1</v>
      </c>
      <c r="AO55">
        <v>0</v>
      </c>
      <c r="AP55" t="s">
        <v>1050</v>
      </c>
      <c r="AR55" t="s">
        <v>127</v>
      </c>
      <c r="AS55">
        <v>3534</v>
      </c>
      <c r="AU55">
        <v>0</v>
      </c>
      <c r="AV55">
        <v>0</v>
      </c>
      <c r="AW55">
        <v>0</v>
      </c>
      <c r="AX55">
        <v>3534</v>
      </c>
      <c r="AY55">
        <v>196.33333333333303</v>
      </c>
      <c r="AZ55">
        <v>0</v>
      </c>
      <c r="BC55">
        <v>-3337.666666666667</v>
      </c>
      <c r="BE55" t="s">
        <v>114</v>
      </c>
      <c r="BH55">
        <v>-196.33333333333303</v>
      </c>
      <c r="BI55">
        <v>-16.361111111111086</v>
      </c>
      <c r="BK55" t="s">
        <v>116</v>
      </c>
      <c r="BL55">
        <v>0</v>
      </c>
      <c r="BM55">
        <v>-3534</v>
      </c>
      <c r="BR55">
        <v>0</v>
      </c>
      <c r="BS55">
        <v>0</v>
      </c>
      <c r="BW55" t="s">
        <v>167</v>
      </c>
      <c r="BX55" t="s">
        <v>168</v>
      </c>
      <c r="BZ55" t="s">
        <v>967</v>
      </c>
    </row>
    <row r="56" spans="1:78">
      <c r="A56" t="s">
        <v>230</v>
      </c>
      <c r="B56" t="s">
        <v>880</v>
      </c>
      <c r="C56" t="s">
        <v>54</v>
      </c>
      <c r="D56" t="s">
        <v>1</v>
      </c>
      <c r="E56" t="s">
        <v>115</v>
      </c>
      <c r="F56" t="s">
        <v>99</v>
      </c>
      <c r="G56" t="s">
        <v>100</v>
      </c>
      <c r="H56" t="s">
        <v>128</v>
      </c>
      <c r="I56" t="s">
        <v>100</v>
      </c>
      <c r="J56" t="s">
        <v>101</v>
      </c>
      <c r="K56" t="s">
        <v>559</v>
      </c>
      <c r="L56" t="s">
        <v>559</v>
      </c>
      <c r="M56" t="s">
        <v>100</v>
      </c>
      <c r="N56" t="s">
        <v>455</v>
      </c>
      <c r="O56" t="s">
        <v>100</v>
      </c>
      <c r="Q56" t="s">
        <v>455</v>
      </c>
      <c r="R56" t="s">
        <v>119</v>
      </c>
      <c r="S56" t="s">
        <v>130</v>
      </c>
      <c r="T56" t="s">
        <v>120</v>
      </c>
      <c r="U56" t="s">
        <v>101</v>
      </c>
      <c r="V56" t="s">
        <v>121</v>
      </c>
      <c r="W56" t="s">
        <v>122</v>
      </c>
      <c r="X56" t="s">
        <v>123</v>
      </c>
      <c r="Y56">
        <v>1</v>
      </c>
      <c r="Z56" t="s">
        <v>564</v>
      </c>
      <c r="AA56" s="280">
        <v>38602</v>
      </c>
      <c r="AB56" t="s">
        <v>114</v>
      </c>
      <c r="AC56" t="s">
        <v>124</v>
      </c>
      <c r="AD56" s="280">
        <v>44651</v>
      </c>
      <c r="AE56" t="s">
        <v>125</v>
      </c>
      <c r="AF56">
        <v>6</v>
      </c>
      <c r="AG56">
        <v>0</v>
      </c>
      <c r="AH56">
        <v>0</v>
      </c>
      <c r="AI56" t="s">
        <v>126</v>
      </c>
      <c r="AL56">
        <v>1</v>
      </c>
      <c r="AN56">
        <v>1</v>
      </c>
      <c r="AO56">
        <v>0</v>
      </c>
      <c r="AP56" t="s">
        <v>1050</v>
      </c>
      <c r="AR56" t="s">
        <v>127</v>
      </c>
      <c r="AS56">
        <v>3534</v>
      </c>
      <c r="AU56">
        <v>0</v>
      </c>
      <c r="AV56">
        <v>0</v>
      </c>
      <c r="AW56">
        <v>0</v>
      </c>
      <c r="AX56">
        <v>3534</v>
      </c>
      <c r="AY56">
        <v>196.33333333333303</v>
      </c>
      <c r="AZ56">
        <v>0</v>
      </c>
      <c r="BC56">
        <v>-3337.666666666667</v>
      </c>
      <c r="BE56" t="s">
        <v>114</v>
      </c>
      <c r="BH56">
        <v>-196.33333333333303</v>
      </c>
      <c r="BI56">
        <v>-16.361111111111086</v>
      </c>
      <c r="BK56" t="s">
        <v>116</v>
      </c>
      <c r="BL56">
        <v>0</v>
      </c>
      <c r="BM56">
        <v>-3534</v>
      </c>
      <c r="BR56">
        <v>0</v>
      </c>
      <c r="BS56">
        <v>0</v>
      </c>
      <c r="BW56" t="s">
        <v>167</v>
      </c>
      <c r="BX56" t="s">
        <v>168</v>
      </c>
      <c r="BZ56" t="s">
        <v>968</v>
      </c>
    </row>
    <row r="57" spans="1:78">
      <c r="A57" t="s">
        <v>231</v>
      </c>
      <c r="B57" t="s">
        <v>877</v>
      </c>
      <c r="C57" t="s">
        <v>54</v>
      </c>
      <c r="D57" t="s">
        <v>1</v>
      </c>
      <c r="E57" t="s">
        <v>115</v>
      </c>
      <c r="F57" t="s">
        <v>99</v>
      </c>
      <c r="G57" t="s">
        <v>100</v>
      </c>
      <c r="H57" t="s">
        <v>128</v>
      </c>
      <c r="I57" t="s">
        <v>100</v>
      </c>
      <c r="J57" t="s">
        <v>101</v>
      </c>
      <c r="K57" t="s">
        <v>559</v>
      </c>
      <c r="L57" t="s">
        <v>559</v>
      </c>
      <c r="M57" t="s">
        <v>100</v>
      </c>
      <c r="N57" t="s">
        <v>455</v>
      </c>
      <c r="O57" t="s">
        <v>100</v>
      </c>
      <c r="Q57" t="s">
        <v>455</v>
      </c>
      <c r="R57" t="s">
        <v>119</v>
      </c>
      <c r="S57" t="s">
        <v>130</v>
      </c>
      <c r="T57" t="s">
        <v>120</v>
      </c>
      <c r="U57" t="s">
        <v>101</v>
      </c>
      <c r="V57" t="s">
        <v>121</v>
      </c>
      <c r="W57" t="s">
        <v>122</v>
      </c>
      <c r="X57" t="s">
        <v>123</v>
      </c>
      <c r="Y57">
        <v>1</v>
      </c>
      <c r="Z57" t="s">
        <v>564</v>
      </c>
      <c r="AA57" s="280">
        <v>38602</v>
      </c>
      <c r="AB57" t="s">
        <v>114</v>
      </c>
      <c r="AC57" t="s">
        <v>124</v>
      </c>
      <c r="AD57" s="280">
        <v>44651</v>
      </c>
      <c r="AE57" t="s">
        <v>125</v>
      </c>
      <c r="AF57">
        <v>6</v>
      </c>
      <c r="AG57">
        <v>0</v>
      </c>
      <c r="AH57">
        <v>0</v>
      </c>
      <c r="AI57" t="s">
        <v>126</v>
      </c>
      <c r="AL57">
        <v>1</v>
      </c>
      <c r="AN57">
        <v>1</v>
      </c>
      <c r="AO57">
        <v>0</v>
      </c>
      <c r="AP57" t="s">
        <v>1050</v>
      </c>
      <c r="AR57" t="s">
        <v>127</v>
      </c>
      <c r="AS57">
        <v>3534</v>
      </c>
      <c r="AU57">
        <v>0</v>
      </c>
      <c r="AV57">
        <v>0</v>
      </c>
      <c r="AW57">
        <v>0</v>
      </c>
      <c r="AX57">
        <v>3534</v>
      </c>
      <c r="AY57">
        <v>196.33333333333303</v>
      </c>
      <c r="AZ57">
        <v>0</v>
      </c>
      <c r="BC57">
        <v>-3337.666666666667</v>
      </c>
      <c r="BE57" t="s">
        <v>114</v>
      </c>
      <c r="BH57">
        <v>-196.33333333333303</v>
      </c>
      <c r="BI57">
        <v>-16.361111111111086</v>
      </c>
      <c r="BK57" t="s">
        <v>116</v>
      </c>
      <c r="BL57">
        <v>0</v>
      </c>
      <c r="BM57">
        <v>-3534</v>
      </c>
      <c r="BR57">
        <v>0</v>
      </c>
      <c r="BS57">
        <v>0</v>
      </c>
      <c r="BW57" t="s">
        <v>167</v>
      </c>
      <c r="BX57" t="s">
        <v>168</v>
      </c>
      <c r="BZ57" t="s">
        <v>969</v>
      </c>
    </row>
    <row r="58" spans="1:78">
      <c r="A58" t="s">
        <v>232</v>
      </c>
      <c r="B58" t="s">
        <v>859</v>
      </c>
      <c r="C58" t="s">
        <v>54</v>
      </c>
      <c r="D58" t="s">
        <v>1</v>
      </c>
      <c r="E58" t="s">
        <v>115</v>
      </c>
      <c r="F58" t="s">
        <v>99</v>
      </c>
      <c r="G58" t="s">
        <v>100</v>
      </c>
      <c r="H58" t="s">
        <v>128</v>
      </c>
      <c r="I58" t="s">
        <v>100</v>
      </c>
      <c r="J58" t="s">
        <v>101</v>
      </c>
      <c r="K58" t="s">
        <v>559</v>
      </c>
      <c r="L58" t="s">
        <v>559</v>
      </c>
      <c r="M58" t="s">
        <v>100</v>
      </c>
      <c r="N58" t="s">
        <v>456</v>
      </c>
      <c r="O58" t="s">
        <v>100</v>
      </c>
      <c r="Q58" t="s">
        <v>456</v>
      </c>
      <c r="R58" t="s">
        <v>119</v>
      </c>
      <c r="S58" t="s">
        <v>130</v>
      </c>
      <c r="T58" t="s">
        <v>120</v>
      </c>
      <c r="U58" t="s">
        <v>101</v>
      </c>
      <c r="V58" t="s">
        <v>121</v>
      </c>
      <c r="W58" t="s">
        <v>122</v>
      </c>
      <c r="X58" t="s">
        <v>123</v>
      </c>
      <c r="Y58">
        <v>1</v>
      </c>
      <c r="Z58" t="s">
        <v>564</v>
      </c>
      <c r="AA58" s="280">
        <v>38602</v>
      </c>
      <c r="AB58" t="s">
        <v>114</v>
      </c>
      <c r="AC58" t="s">
        <v>124</v>
      </c>
      <c r="AD58" s="280">
        <v>44651</v>
      </c>
      <c r="AE58" t="s">
        <v>125</v>
      </c>
      <c r="AF58">
        <v>6</v>
      </c>
      <c r="AG58">
        <v>0</v>
      </c>
      <c r="AH58">
        <v>0</v>
      </c>
      <c r="AI58" t="s">
        <v>126</v>
      </c>
      <c r="AL58">
        <v>1</v>
      </c>
      <c r="AN58">
        <v>1</v>
      </c>
      <c r="AO58">
        <v>0</v>
      </c>
      <c r="AP58" t="s">
        <v>1050</v>
      </c>
      <c r="AR58" t="s">
        <v>127</v>
      </c>
      <c r="AS58">
        <v>3534</v>
      </c>
      <c r="AU58">
        <v>0</v>
      </c>
      <c r="AV58">
        <v>0</v>
      </c>
      <c r="AW58">
        <v>0</v>
      </c>
      <c r="AX58">
        <v>3534</v>
      </c>
      <c r="AY58">
        <v>196.33333333333303</v>
      </c>
      <c r="AZ58">
        <v>0</v>
      </c>
      <c r="BC58">
        <v>-3337.666666666667</v>
      </c>
      <c r="BE58" t="s">
        <v>114</v>
      </c>
      <c r="BH58">
        <v>-196.33333333333303</v>
      </c>
      <c r="BI58">
        <v>-16.361111111111086</v>
      </c>
      <c r="BK58" t="s">
        <v>116</v>
      </c>
      <c r="BL58">
        <v>0</v>
      </c>
      <c r="BM58">
        <v>-3534</v>
      </c>
      <c r="BR58">
        <v>0</v>
      </c>
      <c r="BS58">
        <v>0</v>
      </c>
      <c r="BW58" t="s">
        <v>167</v>
      </c>
      <c r="BX58" t="s">
        <v>168</v>
      </c>
      <c r="BZ58" t="s">
        <v>938</v>
      </c>
    </row>
    <row r="59" spans="1:78">
      <c r="A59" t="s">
        <v>233</v>
      </c>
      <c r="B59" t="s">
        <v>863</v>
      </c>
      <c r="C59" t="s">
        <v>54</v>
      </c>
      <c r="D59" t="s">
        <v>1</v>
      </c>
      <c r="E59" t="s">
        <v>115</v>
      </c>
      <c r="F59" t="s">
        <v>99</v>
      </c>
      <c r="G59" t="s">
        <v>100</v>
      </c>
      <c r="H59" t="s">
        <v>128</v>
      </c>
      <c r="I59" t="s">
        <v>100</v>
      </c>
      <c r="J59" t="s">
        <v>101</v>
      </c>
      <c r="K59" t="s">
        <v>559</v>
      </c>
      <c r="L59" t="s">
        <v>559</v>
      </c>
      <c r="M59" t="s">
        <v>100</v>
      </c>
      <c r="N59" t="s">
        <v>455</v>
      </c>
      <c r="O59" t="s">
        <v>100</v>
      </c>
      <c r="Q59" t="s">
        <v>455</v>
      </c>
      <c r="R59" t="s">
        <v>119</v>
      </c>
      <c r="S59" t="s">
        <v>130</v>
      </c>
      <c r="T59" t="s">
        <v>120</v>
      </c>
      <c r="U59" t="s">
        <v>101</v>
      </c>
      <c r="V59" t="s">
        <v>121</v>
      </c>
      <c r="W59" t="s">
        <v>122</v>
      </c>
      <c r="X59" t="s">
        <v>123</v>
      </c>
      <c r="Y59">
        <v>1</v>
      </c>
      <c r="Z59" t="s">
        <v>564</v>
      </c>
      <c r="AA59" s="280">
        <v>38602</v>
      </c>
      <c r="AB59" t="s">
        <v>114</v>
      </c>
      <c r="AC59" t="s">
        <v>124</v>
      </c>
      <c r="AD59" s="280">
        <v>44651</v>
      </c>
      <c r="AE59" t="s">
        <v>125</v>
      </c>
      <c r="AF59">
        <v>6</v>
      </c>
      <c r="AG59">
        <v>0</v>
      </c>
      <c r="AH59">
        <v>0</v>
      </c>
      <c r="AI59" t="s">
        <v>126</v>
      </c>
      <c r="AL59">
        <v>1</v>
      </c>
      <c r="AN59">
        <v>1</v>
      </c>
      <c r="AO59">
        <v>0</v>
      </c>
      <c r="AP59" t="s">
        <v>1050</v>
      </c>
      <c r="AR59" t="s">
        <v>127</v>
      </c>
      <c r="AS59">
        <v>3534</v>
      </c>
      <c r="AU59">
        <v>0</v>
      </c>
      <c r="AV59">
        <v>0</v>
      </c>
      <c r="AW59">
        <v>0</v>
      </c>
      <c r="AX59">
        <v>3534</v>
      </c>
      <c r="AY59">
        <v>196.33333333333303</v>
      </c>
      <c r="AZ59">
        <v>0</v>
      </c>
      <c r="BC59">
        <v>-3337.666666666667</v>
      </c>
      <c r="BE59" t="s">
        <v>114</v>
      </c>
      <c r="BH59">
        <v>-196.33333333333303</v>
      </c>
      <c r="BI59">
        <v>-16.361111111111086</v>
      </c>
      <c r="BK59" t="s">
        <v>116</v>
      </c>
      <c r="BL59">
        <v>0</v>
      </c>
      <c r="BM59">
        <v>-3534</v>
      </c>
      <c r="BR59">
        <v>0</v>
      </c>
      <c r="BS59">
        <v>0</v>
      </c>
      <c r="BW59" t="s">
        <v>167</v>
      </c>
      <c r="BX59" t="s">
        <v>168</v>
      </c>
      <c r="BZ59" t="s">
        <v>947</v>
      </c>
    </row>
    <row r="60" spans="1:78">
      <c r="A60" t="s">
        <v>234</v>
      </c>
      <c r="B60" t="s">
        <v>859</v>
      </c>
      <c r="C60" t="s">
        <v>54</v>
      </c>
      <c r="D60" t="s">
        <v>1</v>
      </c>
      <c r="E60" t="s">
        <v>115</v>
      </c>
      <c r="F60" t="s">
        <v>99</v>
      </c>
      <c r="G60" t="s">
        <v>100</v>
      </c>
      <c r="H60" t="s">
        <v>128</v>
      </c>
      <c r="I60" t="s">
        <v>100</v>
      </c>
      <c r="J60" t="s">
        <v>101</v>
      </c>
      <c r="K60" t="s">
        <v>559</v>
      </c>
      <c r="L60" t="s">
        <v>559</v>
      </c>
      <c r="M60" t="s">
        <v>100</v>
      </c>
      <c r="N60" t="s">
        <v>457</v>
      </c>
      <c r="O60" t="s">
        <v>100</v>
      </c>
      <c r="Q60" t="s">
        <v>457</v>
      </c>
      <c r="R60" t="s">
        <v>119</v>
      </c>
      <c r="S60" t="s">
        <v>130</v>
      </c>
      <c r="T60" t="s">
        <v>120</v>
      </c>
      <c r="U60" t="s">
        <v>101</v>
      </c>
      <c r="V60" t="s">
        <v>121</v>
      </c>
      <c r="W60" t="s">
        <v>122</v>
      </c>
      <c r="X60" t="s">
        <v>123</v>
      </c>
      <c r="Y60">
        <v>1</v>
      </c>
      <c r="Z60" t="s">
        <v>565</v>
      </c>
      <c r="AA60" s="280">
        <v>38608</v>
      </c>
      <c r="AB60" t="s">
        <v>114</v>
      </c>
      <c r="AC60" t="s">
        <v>124</v>
      </c>
      <c r="AD60" s="280">
        <v>44651</v>
      </c>
      <c r="AE60" t="s">
        <v>125</v>
      </c>
      <c r="AF60">
        <v>6</v>
      </c>
      <c r="AG60">
        <v>0</v>
      </c>
      <c r="AH60">
        <v>0</v>
      </c>
      <c r="AI60" t="s">
        <v>126</v>
      </c>
      <c r="AL60">
        <v>1</v>
      </c>
      <c r="AN60">
        <v>1</v>
      </c>
      <c r="AO60">
        <v>0</v>
      </c>
      <c r="AP60" t="s">
        <v>1050</v>
      </c>
      <c r="AR60" t="s">
        <v>127</v>
      </c>
      <c r="AS60">
        <v>2394</v>
      </c>
      <c r="AU60">
        <v>0</v>
      </c>
      <c r="AV60">
        <v>0</v>
      </c>
      <c r="AW60">
        <v>0</v>
      </c>
      <c r="AX60">
        <v>2394</v>
      </c>
      <c r="AY60">
        <v>133</v>
      </c>
      <c r="AZ60">
        <v>0</v>
      </c>
      <c r="BC60">
        <v>-2261</v>
      </c>
      <c r="BE60" t="s">
        <v>114</v>
      </c>
      <c r="BH60">
        <v>-133</v>
      </c>
      <c r="BI60">
        <v>-11.083333333333334</v>
      </c>
      <c r="BK60" t="s">
        <v>116</v>
      </c>
      <c r="BL60">
        <v>0</v>
      </c>
      <c r="BM60">
        <v>-2394</v>
      </c>
      <c r="BR60">
        <v>0</v>
      </c>
      <c r="BS60">
        <v>0</v>
      </c>
      <c r="BW60" t="s">
        <v>167</v>
      </c>
      <c r="BX60" t="s">
        <v>168</v>
      </c>
      <c r="BZ60" t="s">
        <v>944</v>
      </c>
    </row>
    <row r="61" spans="1:78">
      <c r="A61" t="s">
        <v>235</v>
      </c>
      <c r="B61" t="s">
        <v>881</v>
      </c>
      <c r="C61" t="s">
        <v>54</v>
      </c>
      <c r="D61" t="s">
        <v>1</v>
      </c>
      <c r="E61" t="s">
        <v>115</v>
      </c>
      <c r="F61" t="s">
        <v>99</v>
      </c>
      <c r="G61" t="s">
        <v>100</v>
      </c>
      <c r="H61" t="s">
        <v>128</v>
      </c>
      <c r="I61" t="s">
        <v>100</v>
      </c>
      <c r="J61" t="s">
        <v>101</v>
      </c>
      <c r="K61" t="s">
        <v>559</v>
      </c>
      <c r="L61" t="s">
        <v>559</v>
      </c>
      <c r="M61" t="s">
        <v>100</v>
      </c>
      <c r="N61" t="s">
        <v>458</v>
      </c>
      <c r="O61" t="s">
        <v>100</v>
      </c>
      <c r="Q61" t="s">
        <v>458</v>
      </c>
      <c r="R61" t="s">
        <v>119</v>
      </c>
      <c r="S61" t="s">
        <v>130</v>
      </c>
      <c r="T61" t="s">
        <v>120</v>
      </c>
      <c r="U61" t="s">
        <v>101</v>
      </c>
      <c r="V61" t="s">
        <v>121</v>
      </c>
      <c r="W61" t="s">
        <v>122</v>
      </c>
      <c r="X61" t="s">
        <v>123</v>
      </c>
      <c r="Y61">
        <v>1</v>
      </c>
      <c r="Z61" t="s">
        <v>565</v>
      </c>
      <c r="AA61" s="280">
        <v>38608</v>
      </c>
      <c r="AB61" t="s">
        <v>114</v>
      </c>
      <c r="AC61" t="s">
        <v>124</v>
      </c>
      <c r="AD61" s="280">
        <v>44651</v>
      </c>
      <c r="AE61" t="s">
        <v>125</v>
      </c>
      <c r="AF61">
        <v>6</v>
      </c>
      <c r="AG61">
        <v>0</v>
      </c>
      <c r="AH61">
        <v>0</v>
      </c>
      <c r="AI61" t="s">
        <v>126</v>
      </c>
      <c r="AL61">
        <v>1</v>
      </c>
      <c r="AN61">
        <v>1</v>
      </c>
      <c r="AO61">
        <v>0</v>
      </c>
      <c r="AP61" t="s">
        <v>1050</v>
      </c>
      <c r="AR61" t="s">
        <v>127</v>
      </c>
      <c r="AS61">
        <v>20520</v>
      </c>
      <c r="AU61">
        <v>0</v>
      </c>
      <c r="AV61">
        <v>0</v>
      </c>
      <c r="AW61">
        <v>0</v>
      </c>
      <c r="AX61">
        <v>20520</v>
      </c>
      <c r="AY61">
        <v>1140</v>
      </c>
      <c r="AZ61">
        <v>0</v>
      </c>
      <c r="BC61">
        <v>-19380</v>
      </c>
      <c r="BE61" t="s">
        <v>114</v>
      </c>
      <c r="BH61">
        <v>-1140</v>
      </c>
      <c r="BI61">
        <v>-95</v>
      </c>
      <c r="BK61" t="s">
        <v>116</v>
      </c>
      <c r="BL61">
        <v>0</v>
      </c>
      <c r="BM61">
        <v>-20520</v>
      </c>
      <c r="BR61">
        <v>0</v>
      </c>
      <c r="BS61">
        <v>0</v>
      </c>
      <c r="BW61" t="s">
        <v>167</v>
      </c>
      <c r="BX61" t="s">
        <v>168</v>
      </c>
      <c r="BZ61" t="s">
        <v>940</v>
      </c>
    </row>
    <row r="62" spans="1:78">
      <c r="A62" t="s">
        <v>236</v>
      </c>
      <c r="B62" t="s">
        <v>859</v>
      </c>
      <c r="C62" t="s">
        <v>54</v>
      </c>
      <c r="D62" t="s">
        <v>1</v>
      </c>
      <c r="E62" t="s">
        <v>115</v>
      </c>
      <c r="F62" t="s">
        <v>99</v>
      </c>
      <c r="G62" t="s">
        <v>100</v>
      </c>
      <c r="H62" t="s">
        <v>128</v>
      </c>
      <c r="I62" t="s">
        <v>100</v>
      </c>
      <c r="J62" t="s">
        <v>101</v>
      </c>
      <c r="K62" t="s">
        <v>559</v>
      </c>
      <c r="L62" t="s">
        <v>559</v>
      </c>
      <c r="M62" t="s">
        <v>100</v>
      </c>
      <c r="N62" t="s">
        <v>459</v>
      </c>
      <c r="O62" t="s">
        <v>100</v>
      </c>
      <c r="Q62" t="s">
        <v>459</v>
      </c>
      <c r="R62" t="s">
        <v>119</v>
      </c>
      <c r="S62" t="s">
        <v>130</v>
      </c>
      <c r="T62" t="s">
        <v>120</v>
      </c>
      <c r="U62" t="s">
        <v>101</v>
      </c>
      <c r="V62" t="s">
        <v>121</v>
      </c>
      <c r="W62" t="s">
        <v>122</v>
      </c>
      <c r="X62" t="s">
        <v>123</v>
      </c>
      <c r="Y62">
        <v>1</v>
      </c>
      <c r="Z62" t="s">
        <v>566</v>
      </c>
      <c r="AA62" s="280">
        <v>38611</v>
      </c>
      <c r="AB62" t="s">
        <v>114</v>
      </c>
      <c r="AC62" t="s">
        <v>124</v>
      </c>
      <c r="AD62" s="280">
        <v>44651</v>
      </c>
      <c r="AE62" t="s">
        <v>125</v>
      </c>
      <c r="AF62">
        <v>6</v>
      </c>
      <c r="AG62">
        <v>0</v>
      </c>
      <c r="AH62">
        <v>0</v>
      </c>
      <c r="AI62" t="s">
        <v>126</v>
      </c>
      <c r="AL62">
        <v>1</v>
      </c>
      <c r="AN62">
        <v>1</v>
      </c>
      <c r="AO62">
        <v>0</v>
      </c>
      <c r="AP62" t="s">
        <v>1050</v>
      </c>
      <c r="AR62" t="s">
        <v>127</v>
      </c>
      <c r="AS62">
        <v>8208</v>
      </c>
      <c r="AU62">
        <v>0</v>
      </c>
      <c r="AV62">
        <v>0</v>
      </c>
      <c r="AW62">
        <v>0</v>
      </c>
      <c r="AX62">
        <v>8208</v>
      </c>
      <c r="AY62">
        <v>456</v>
      </c>
      <c r="AZ62">
        <v>0</v>
      </c>
      <c r="BC62">
        <v>-7752</v>
      </c>
      <c r="BE62" t="s">
        <v>114</v>
      </c>
      <c r="BH62">
        <v>-456</v>
      </c>
      <c r="BI62">
        <v>-38</v>
      </c>
      <c r="BK62" t="s">
        <v>116</v>
      </c>
      <c r="BL62">
        <v>0</v>
      </c>
      <c r="BM62">
        <v>-8208</v>
      </c>
      <c r="BR62">
        <v>0</v>
      </c>
      <c r="BS62">
        <v>0</v>
      </c>
      <c r="BW62" t="s">
        <v>167</v>
      </c>
      <c r="BX62" t="s">
        <v>168</v>
      </c>
      <c r="BZ62" t="s">
        <v>938</v>
      </c>
    </row>
    <row r="63" spans="1:78">
      <c r="A63" t="s">
        <v>237</v>
      </c>
      <c r="B63" t="s">
        <v>865</v>
      </c>
      <c r="C63" t="s">
        <v>54</v>
      </c>
      <c r="D63" t="s">
        <v>1</v>
      </c>
      <c r="E63" t="s">
        <v>115</v>
      </c>
      <c r="F63" t="s">
        <v>99</v>
      </c>
      <c r="G63" t="s">
        <v>100</v>
      </c>
      <c r="H63" t="s">
        <v>128</v>
      </c>
      <c r="I63" t="s">
        <v>100</v>
      </c>
      <c r="J63" t="s">
        <v>101</v>
      </c>
      <c r="K63" t="s">
        <v>559</v>
      </c>
      <c r="L63" t="s">
        <v>559</v>
      </c>
      <c r="M63" t="s">
        <v>100</v>
      </c>
      <c r="N63" t="s">
        <v>460</v>
      </c>
      <c r="O63" t="s">
        <v>100</v>
      </c>
      <c r="Q63" t="s">
        <v>460</v>
      </c>
      <c r="R63" t="s">
        <v>119</v>
      </c>
      <c r="S63" t="s">
        <v>130</v>
      </c>
      <c r="T63" t="s">
        <v>120</v>
      </c>
      <c r="U63" t="s">
        <v>101</v>
      </c>
      <c r="V63" t="s">
        <v>121</v>
      </c>
      <c r="W63" t="s">
        <v>122</v>
      </c>
      <c r="X63" t="s">
        <v>123</v>
      </c>
      <c r="Y63">
        <v>1</v>
      </c>
      <c r="Z63" t="s">
        <v>563</v>
      </c>
      <c r="AA63" s="280">
        <v>38609</v>
      </c>
      <c r="AB63" t="s">
        <v>114</v>
      </c>
      <c r="AC63" t="s">
        <v>124</v>
      </c>
      <c r="AD63" s="280">
        <v>44651</v>
      </c>
      <c r="AE63" t="s">
        <v>125</v>
      </c>
      <c r="AF63">
        <v>6</v>
      </c>
      <c r="AG63">
        <v>0</v>
      </c>
      <c r="AH63">
        <v>0</v>
      </c>
      <c r="AI63" t="s">
        <v>126</v>
      </c>
      <c r="AL63">
        <v>1</v>
      </c>
      <c r="AN63">
        <v>1</v>
      </c>
      <c r="AO63">
        <v>0</v>
      </c>
      <c r="AP63" t="s">
        <v>1050</v>
      </c>
      <c r="AR63" t="s">
        <v>127</v>
      </c>
      <c r="AS63">
        <v>3990</v>
      </c>
      <c r="AU63">
        <v>0</v>
      </c>
      <c r="AV63">
        <v>0</v>
      </c>
      <c r="AW63">
        <v>0</v>
      </c>
      <c r="AX63">
        <v>3990</v>
      </c>
      <c r="AY63">
        <v>221.66666666666697</v>
      </c>
      <c r="AZ63">
        <v>0</v>
      </c>
      <c r="BC63">
        <v>-3768.333333333333</v>
      </c>
      <c r="BE63" t="s">
        <v>114</v>
      </c>
      <c r="BH63">
        <v>-221.66666666666697</v>
      </c>
      <c r="BI63">
        <v>-18.472222222222246</v>
      </c>
      <c r="BK63" t="s">
        <v>116</v>
      </c>
      <c r="BL63">
        <v>0</v>
      </c>
      <c r="BM63">
        <v>-3990</v>
      </c>
      <c r="BR63">
        <v>0</v>
      </c>
      <c r="BS63">
        <v>0</v>
      </c>
      <c r="BW63" t="s">
        <v>167</v>
      </c>
      <c r="BX63" t="s">
        <v>168</v>
      </c>
      <c r="BZ63" t="s">
        <v>938</v>
      </c>
    </row>
    <row r="64" spans="1:78">
      <c r="A64" t="s">
        <v>238</v>
      </c>
      <c r="B64" t="s">
        <v>882</v>
      </c>
      <c r="C64" t="s">
        <v>54</v>
      </c>
      <c r="D64" t="s">
        <v>1</v>
      </c>
      <c r="E64" t="s">
        <v>115</v>
      </c>
      <c r="F64" t="s">
        <v>99</v>
      </c>
      <c r="G64" t="s">
        <v>100</v>
      </c>
      <c r="H64" t="s">
        <v>128</v>
      </c>
      <c r="I64" t="s">
        <v>100</v>
      </c>
      <c r="J64" t="s">
        <v>101</v>
      </c>
      <c r="K64" t="s">
        <v>559</v>
      </c>
      <c r="L64" t="s">
        <v>559</v>
      </c>
      <c r="M64" t="s">
        <v>100</v>
      </c>
      <c r="N64" t="s">
        <v>461</v>
      </c>
      <c r="O64" t="s">
        <v>100</v>
      </c>
      <c r="Q64" t="s">
        <v>461</v>
      </c>
      <c r="R64" t="s">
        <v>119</v>
      </c>
      <c r="S64" t="s">
        <v>130</v>
      </c>
      <c r="T64" t="s">
        <v>120</v>
      </c>
      <c r="U64" t="s">
        <v>101</v>
      </c>
      <c r="V64" t="s">
        <v>121</v>
      </c>
      <c r="W64" t="s">
        <v>122</v>
      </c>
      <c r="X64" t="s">
        <v>123</v>
      </c>
      <c r="Y64">
        <v>1</v>
      </c>
      <c r="Z64" t="s">
        <v>566</v>
      </c>
      <c r="AA64" s="280">
        <v>38611</v>
      </c>
      <c r="AB64" t="s">
        <v>114</v>
      </c>
      <c r="AC64" t="s">
        <v>124</v>
      </c>
      <c r="AD64" s="280">
        <v>44651</v>
      </c>
      <c r="AE64" t="s">
        <v>125</v>
      </c>
      <c r="AF64">
        <v>6</v>
      </c>
      <c r="AG64">
        <v>0</v>
      </c>
      <c r="AH64">
        <v>0</v>
      </c>
      <c r="AI64" t="s">
        <v>126</v>
      </c>
      <c r="AL64">
        <v>1</v>
      </c>
      <c r="AN64">
        <v>1</v>
      </c>
      <c r="AO64">
        <v>0</v>
      </c>
      <c r="AP64" t="s">
        <v>1050</v>
      </c>
      <c r="AR64" t="s">
        <v>127</v>
      </c>
      <c r="AS64">
        <v>1482</v>
      </c>
      <c r="AU64">
        <v>0</v>
      </c>
      <c r="AV64">
        <v>0</v>
      </c>
      <c r="AW64">
        <v>0</v>
      </c>
      <c r="AX64">
        <v>1482</v>
      </c>
      <c r="AY64">
        <v>82.333333333333485</v>
      </c>
      <c r="AZ64">
        <v>0</v>
      </c>
      <c r="BC64">
        <v>-1399.6666666666665</v>
      </c>
      <c r="BE64" t="s">
        <v>114</v>
      </c>
      <c r="BH64">
        <v>-82.333333333333485</v>
      </c>
      <c r="BI64">
        <v>-6.861111111111124</v>
      </c>
      <c r="BK64" t="s">
        <v>116</v>
      </c>
      <c r="BL64">
        <v>0</v>
      </c>
      <c r="BM64">
        <v>-1482</v>
      </c>
      <c r="BR64">
        <v>0</v>
      </c>
      <c r="BS64">
        <v>0</v>
      </c>
      <c r="BW64" t="s">
        <v>167</v>
      </c>
      <c r="BX64" t="s">
        <v>168</v>
      </c>
      <c r="BZ64" t="s">
        <v>970</v>
      </c>
    </row>
    <row r="65" spans="1:78">
      <c r="A65" t="s">
        <v>239</v>
      </c>
      <c r="B65" t="s">
        <v>874</v>
      </c>
      <c r="C65" t="s">
        <v>54</v>
      </c>
      <c r="D65" t="s">
        <v>1</v>
      </c>
      <c r="E65" t="s">
        <v>115</v>
      </c>
      <c r="F65" t="s">
        <v>99</v>
      </c>
      <c r="G65" t="s">
        <v>100</v>
      </c>
      <c r="H65" t="s">
        <v>128</v>
      </c>
      <c r="I65" t="s">
        <v>100</v>
      </c>
      <c r="J65" t="s">
        <v>101</v>
      </c>
      <c r="K65" t="s">
        <v>559</v>
      </c>
      <c r="L65" t="s">
        <v>559</v>
      </c>
      <c r="M65" t="s">
        <v>100</v>
      </c>
      <c r="N65" t="s">
        <v>462</v>
      </c>
      <c r="O65" t="s">
        <v>100</v>
      </c>
      <c r="Q65" t="s">
        <v>462</v>
      </c>
      <c r="R65" t="s">
        <v>119</v>
      </c>
      <c r="S65" t="s">
        <v>130</v>
      </c>
      <c r="T65" t="s">
        <v>120</v>
      </c>
      <c r="U65" t="s">
        <v>101</v>
      </c>
      <c r="V65" t="s">
        <v>121</v>
      </c>
      <c r="W65" t="s">
        <v>122</v>
      </c>
      <c r="X65" t="s">
        <v>123</v>
      </c>
      <c r="Y65">
        <v>1</v>
      </c>
      <c r="Z65" t="s">
        <v>565</v>
      </c>
      <c r="AA65" s="280">
        <v>38608</v>
      </c>
      <c r="AB65" t="s">
        <v>114</v>
      </c>
      <c r="AC65" t="s">
        <v>124</v>
      </c>
      <c r="AD65" s="280">
        <v>44651</v>
      </c>
      <c r="AE65" t="s">
        <v>125</v>
      </c>
      <c r="AF65">
        <v>6</v>
      </c>
      <c r="AG65">
        <v>0</v>
      </c>
      <c r="AH65">
        <v>0</v>
      </c>
      <c r="AI65" t="s">
        <v>126</v>
      </c>
      <c r="AL65">
        <v>1</v>
      </c>
      <c r="AN65">
        <v>1</v>
      </c>
      <c r="AO65">
        <v>0</v>
      </c>
      <c r="AP65" t="s">
        <v>1050</v>
      </c>
      <c r="AR65" t="s">
        <v>127</v>
      </c>
      <c r="AS65">
        <v>1482</v>
      </c>
      <c r="AU65">
        <v>0</v>
      </c>
      <c r="AV65">
        <v>0</v>
      </c>
      <c r="AW65">
        <v>0</v>
      </c>
      <c r="AX65">
        <v>1482</v>
      </c>
      <c r="AY65">
        <v>82.333333333333485</v>
      </c>
      <c r="AZ65">
        <v>0</v>
      </c>
      <c r="BC65">
        <v>-1399.6666666666665</v>
      </c>
      <c r="BE65" t="s">
        <v>114</v>
      </c>
      <c r="BH65">
        <v>-82.333333333333485</v>
      </c>
      <c r="BI65">
        <v>-6.861111111111124</v>
      </c>
      <c r="BK65" t="s">
        <v>116</v>
      </c>
      <c r="BL65">
        <v>0</v>
      </c>
      <c r="BM65">
        <v>-1482</v>
      </c>
      <c r="BR65">
        <v>0</v>
      </c>
      <c r="BS65">
        <v>0</v>
      </c>
      <c r="BW65" t="s">
        <v>167</v>
      </c>
      <c r="BX65" t="s">
        <v>168</v>
      </c>
      <c r="BZ65" t="s">
        <v>959</v>
      </c>
    </row>
    <row r="66" spans="1:78">
      <c r="A66" t="s">
        <v>240</v>
      </c>
      <c r="B66" t="s">
        <v>874</v>
      </c>
      <c r="C66" t="s">
        <v>54</v>
      </c>
      <c r="D66" t="s">
        <v>1</v>
      </c>
      <c r="E66" t="s">
        <v>115</v>
      </c>
      <c r="F66" t="s">
        <v>99</v>
      </c>
      <c r="G66" t="s">
        <v>100</v>
      </c>
      <c r="H66" t="s">
        <v>128</v>
      </c>
      <c r="I66" t="s">
        <v>100</v>
      </c>
      <c r="J66" t="s">
        <v>101</v>
      </c>
      <c r="K66" t="s">
        <v>559</v>
      </c>
      <c r="L66" t="s">
        <v>559</v>
      </c>
      <c r="M66" t="s">
        <v>100</v>
      </c>
      <c r="N66" t="s">
        <v>463</v>
      </c>
      <c r="O66" t="s">
        <v>100</v>
      </c>
      <c r="Q66" t="s">
        <v>463</v>
      </c>
      <c r="R66" t="s">
        <v>119</v>
      </c>
      <c r="S66" t="s">
        <v>130</v>
      </c>
      <c r="T66" t="s">
        <v>120</v>
      </c>
      <c r="U66" t="s">
        <v>101</v>
      </c>
      <c r="V66" t="s">
        <v>121</v>
      </c>
      <c r="W66" t="s">
        <v>122</v>
      </c>
      <c r="X66" t="s">
        <v>123</v>
      </c>
      <c r="Y66">
        <v>1</v>
      </c>
      <c r="Z66" t="s">
        <v>565</v>
      </c>
      <c r="AA66" s="280">
        <v>38608</v>
      </c>
      <c r="AB66" t="s">
        <v>114</v>
      </c>
      <c r="AC66" t="s">
        <v>124</v>
      </c>
      <c r="AD66" s="280">
        <v>44651</v>
      </c>
      <c r="AE66" t="s">
        <v>125</v>
      </c>
      <c r="AF66">
        <v>6</v>
      </c>
      <c r="AG66">
        <v>0</v>
      </c>
      <c r="AH66">
        <v>0</v>
      </c>
      <c r="AI66" t="s">
        <v>126</v>
      </c>
      <c r="AL66">
        <v>1</v>
      </c>
      <c r="AN66">
        <v>1</v>
      </c>
      <c r="AO66">
        <v>0</v>
      </c>
      <c r="AP66" t="s">
        <v>1050</v>
      </c>
      <c r="AR66" t="s">
        <v>127</v>
      </c>
      <c r="AS66">
        <v>1482</v>
      </c>
      <c r="AU66">
        <v>0</v>
      </c>
      <c r="AV66">
        <v>0</v>
      </c>
      <c r="AW66">
        <v>0</v>
      </c>
      <c r="AX66">
        <v>1482</v>
      </c>
      <c r="AY66">
        <v>82.333333333333485</v>
      </c>
      <c r="AZ66">
        <v>0</v>
      </c>
      <c r="BC66">
        <v>-1399.6666666666665</v>
      </c>
      <c r="BE66" t="s">
        <v>114</v>
      </c>
      <c r="BH66">
        <v>-82.333333333333485</v>
      </c>
      <c r="BI66">
        <v>-6.861111111111124</v>
      </c>
      <c r="BK66" t="s">
        <v>116</v>
      </c>
      <c r="BL66">
        <v>0</v>
      </c>
      <c r="BM66">
        <v>-1482</v>
      </c>
      <c r="BR66">
        <v>0</v>
      </c>
      <c r="BS66">
        <v>0</v>
      </c>
      <c r="BW66" t="s">
        <v>167</v>
      </c>
      <c r="BX66" t="s">
        <v>168</v>
      </c>
      <c r="BZ66" t="s">
        <v>959</v>
      </c>
    </row>
    <row r="67" spans="1:78">
      <c r="A67" t="s">
        <v>241</v>
      </c>
      <c r="B67" t="s">
        <v>882</v>
      </c>
      <c r="C67" t="s">
        <v>54</v>
      </c>
      <c r="D67" t="s">
        <v>1</v>
      </c>
      <c r="E67" t="s">
        <v>115</v>
      </c>
      <c r="F67" t="s">
        <v>99</v>
      </c>
      <c r="G67" t="s">
        <v>100</v>
      </c>
      <c r="H67" t="s">
        <v>128</v>
      </c>
      <c r="I67" t="s">
        <v>100</v>
      </c>
      <c r="J67" t="s">
        <v>101</v>
      </c>
      <c r="K67" t="s">
        <v>559</v>
      </c>
      <c r="L67" t="s">
        <v>559</v>
      </c>
      <c r="M67" t="s">
        <v>100</v>
      </c>
      <c r="N67" t="s">
        <v>464</v>
      </c>
      <c r="O67" t="s">
        <v>100</v>
      </c>
      <c r="Q67" t="s">
        <v>464</v>
      </c>
      <c r="R67" t="s">
        <v>119</v>
      </c>
      <c r="S67" t="s">
        <v>130</v>
      </c>
      <c r="T67" t="s">
        <v>120</v>
      </c>
      <c r="U67" t="s">
        <v>101</v>
      </c>
      <c r="V67" t="s">
        <v>121</v>
      </c>
      <c r="W67" t="s">
        <v>122</v>
      </c>
      <c r="X67" t="s">
        <v>123</v>
      </c>
      <c r="Y67">
        <v>1</v>
      </c>
      <c r="Z67" t="s">
        <v>565</v>
      </c>
      <c r="AA67" s="280">
        <v>38608</v>
      </c>
      <c r="AB67" t="s">
        <v>114</v>
      </c>
      <c r="AC67" t="s">
        <v>124</v>
      </c>
      <c r="AD67" s="280">
        <v>44651</v>
      </c>
      <c r="AE67" t="s">
        <v>125</v>
      </c>
      <c r="AF67">
        <v>6</v>
      </c>
      <c r="AG67">
        <v>0</v>
      </c>
      <c r="AH67">
        <v>0</v>
      </c>
      <c r="AI67" t="s">
        <v>126</v>
      </c>
      <c r="AL67">
        <v>1</v>
      </c>
      <c r="AN67">
        <v>1</v>
      </c>
      <c r="AO67">
        <v>0</v>
      </c>
      <c r="AP67" t="s">
        <v>1050</v>
      </c>
      <c r="AR67" t="s">
        <v>127</v>
      </c>
      <c r="AS67">
        <v>1482</v>
      </c>
      <c r="AU67">
        <v>0</v>
      </c>
      <c r="AV67">
        <v>0</v>
      </c>
      <c r="AW67">
        <v>0</v>
      </c>
      <c r="AX67">
        <v>1482</v>
      </c>
      <c r="AY67">
        <v>82.333333333333485</v>
      </c>
      <c r="AZ67">
        <v>0</v>
      </c>
      <c r="BC67">
        <v>-1399.6666666666665</v>
      </c>
      <c r="BE67" t="s">
        <v>114</v>
      </c>
      <c r="BH67">
        <v>-82.333333333333485</v>
      </c>
      <c r="BI67">
        <v>-6.861111111111124</v>
      </c>
      <c r="BK67" t="s">
        <v>116</v>
      </c>
      <c r="BL67">
        <v>0</v>
      </c>
      <c r="BM67">
        <v>-1482</v>
      </c>
      <c r="BR67">
        <v>0</v>
      </c>
      <c r="BS67">
        <v>0</v>
      </c>
      <c r="BW67" t="s">
        <v>167</v>
      </c>
      <c r="BX67" t="s">
        <v>168</v>
      </c>
      <c r="BZ67" t="s">
        <v>971</v>
      </c>
    </row>
    <row r="68" spans="1:78">
      <c r="A68" t="s">
        <v>242</v>
      </c>
      <c r="B68" t="s">
        <v>883</v>
      </c>
      <c r="C68" t="s">
        <v>54</v>
      </c>
      <c r="D68" t="s">
        <v>1</v>
      </c>
      <c r="E68" t="s">
        <v>115</v>
      </c>
      <c r="F68" t="s">
        <v>99</v>
      </c>
      <c r="G68" t="s">
        <v>100</v>
      </c>
      <c r="H68" t="s">
        <v>128</v>
      </c>
      <c r="I68" t="s">
        <v>100</v>
      </c>
      <c r="J68" t="s">
        <v>101</v>
      </c>
      <c r="K68" t="s">
        <v>559</v>
      </c>
      <c r="L68" t="s">
        <v>559</v>
      </c>
      <c r="M68" t="s">
        <v>100</v>
      </c>
      <c r="N68" t="s">
        <v>464</v>
      </c>
      <c r="O68" t="s">
        <v>100</v>
      </c>
      <c r="Q68" t="s">
        <v>464</v>
      </c>
      <c r="R68" t="s">
        <v>119</v>
      </c>
      <c r="S68" t="s">
        <v>130</v>
      </c>
      <c r="T68" t="s">
        <v>120</v>
      </c>
      <c r="U68" t="s">
        <v>101</v>
      </c>
      <c r="V68" t="s">
        <v>121</v>
      </c>
      <c r="W68" t="s">
        <v>122</v>
      </c>
      <c r="X68" t="s">
        <v>123</v>
      </c>
      <c r="Y68">
        <v>1</v>
      </c>
      <c r="Z68" t="s">
        <v>565</v>
      </c>
      <c r="AA68" s="280">
        <v>38608</v>
      </c>
      <c r="AB68" t="s">
        <v>114</v>
      </c>
      <c r="AC68" t="s">
        <v>124</v>
      </c>
      <c r="AD68" s="280">
        <v>44651</v>
      </c>
      <c r="AE68" t="s">
        <v>125</v>
      </c>
      <c r="AF68">
        <v>6</v>
      </c>
      <c r="AG68">
        <v>0</v>
      </c>
      <c r="AH68">
        <v>0</v>
      </c>
      <c r="AI68" t="s">
        <v>126</v>
      </c>
      <c r="AL68">
        <v>1</v>
      </c>
      <c r="AN68">
        <v>1</v>
      </c>
      <c r="AO68">
        <v>0</v>
      </c>
      <c r="AP68" t="s">
        <v>1050</v>
      </c>
      <c r="AR68" t="s">
        <v>127</v>
      </c>
      <c r="AS68">
        <v>1482</v>
      </c>
      <c r="AU68">
        <v>0</v>
      </c>
      <c r="AV68">
        <v>0</v>
      </c>
      <c r="AW68">
        <v>0</v>
      </c>
      <c r="AX68">
        <v>1482</v>
      </c>
      <c r="AY68">
        <v>82.333333333333485</v>
      </c>
      <c r="AZ68">
        <v>0</v>
      </c>
      <c r="BC68">
        <v>-1399.6666666666665</v>
      </c>
      <c r="BE68" t="s">
        <v>114</v>
      </c>
      <c r="BH68">
        <v>-82.333333333333485</v>
      </c>
      <c r="BI68">
        <v>-6.861111111111124</v>
      </c>
      <c r="BK68" t="s">
        <v>116</v>
      </c>
      <c r="BL68">
        <v>0</v>
      </c>
      <c r="BM68">
        <v>-1482</v>
      </c>
      <c r="BR68">
        <v>0</v>
      </c>
      <c r="BS68">
        <v>0</v>
      </c>
      <c r="BW68" t="s">
        <v>167</v>
      </c>
      <c r="BX68" t="s">
        <v>168</v>
      </c>
      <c r="BZ68" t="s">
        <v>972</v>
      </c>
    </row>
    <row r="69" spans="1:78">
      <c r="A69" t="s">
        <v>243</v>
      </c>
      <c r="B69" t="s">
        <v>884</v>
      </c>
      <c r="C69" t="s">
        <v>54</v>
      </c>
      <c r="D69" t="s">
        <v>1</v>
      </c>
      <c r="E69" t="s">
        <v>115</v>
      </c>
      <c r="F69" t="s">
        <v>99</v>
      </c>
      <c r="G69" t="s">
        <v>100</v>
      </c>
      <c r="H69" t="s">
        <v>128</v>
      </c>
      <c r="I69" t="s">
        <v>100</v>
      </c>
      <c r="J69" t="s">
        <v>101</v>
      </c>
      <c r="K69" t="s">
        <v>559</v>
      </c>
      <c r="L69" t="s">
        <v>559</v>
      </c>
      <c r="M69" t="s">
        <v>100</v>
      </c>
      <c r="N69" t="s">
        <v>464</v>
      </c>
      <c r="O69" t="s">
        <v>100</v>
      </c>
      <c r="Q69" t="s">
        <v>464</v>
      </c>
      <c r="R69" t="s">
        <v>119</v>
      </c>
      <c r="S69" t="s">
        <v>130</v>
      </c>
      <c r="T69" t="s">
        <v>120</v>
      </c>
      <c r="U69" t="s">
        <v>101</v>
      </c>
      <c r="V69" t="s">
        <v>121</v>
      </c>
      <c r="W69" t="s">
        <v>122</v>
      </c>
      <c r="X69" t="s">
        <v>123</v>
      </c>
      <c r="Y69">
        <v>1</v>
      </c>
      <c r="Z69" t="s">
        <v>565</v>
      </c>
      <c r="AA69" s="280">
        <v>38608</v>
      </c>
      <c r="AB69" t="s">
        <v>114</v>
      </c>
      <c r="AC69" t="s">
        <v>124</v>
      </c>
      <c r="AD69" s="280">
        <v>44651</v>
      </c>
      <c r="AE69" t="s">
        <v>125</v>
      </c>
      <c r="AF69">
        <v>6</v>
      </c>
      <c r="AG69">
        <v>0</v>
      </c>
      <c r="AH69">
        <v>0</v>
      </c>
      <c r="AI69" t="s">
        <v>126</v>
      </c>
      <c r="AL69">
        <v>1</v>
      </c>
      <c r="AN69">
        <v>1</v>
      </c>
      <c r="AO69">
        <v>0</v>
      </c>
      <c r="AP69" t="s">
        <v>1050</v>
      </c>
      <c r="AR69" t="s">
        <v>127</v>
      </c>
      <c r="AS69">
        <v>1482</v>
      </c>
      <c r="AU69">
        <v>0</v>
      </c>
      <c r="AV69">
        <v>0</v>
      </c>
      <c r="AW69">
        <v>0</v>
      </c>
      <c r="AX69">
        <v>1482</v>
      </c>
      <c r="AY69">
        <v>82.333333333333485</v>
      </c>
      <c r="AZ69">
        <v>0</v>
      </c>
      <c r="BC69">
        <v>-1399.6666666666665</v>
      </c>
      <c r="BE69" t="s">
        <v>114</v>
      </c>
      <c r="BH69">
        <v>-82.333333333333485</v>
      </c>
      <c r="BI69">
        <v>-6.861111111111124</v>
      </c>
      <c r="BK69" t="s">
        <v>116</v>
      </c>
      <c r="BL69">
        <v>0</v>
      </c>
      <c r="BM69">
        <v>-1482</v>
      </c>
      <c r="BR69">
        <v>0</v>
      </c>
      <c r="BS69">
        <v>0</v>
      </c>
      <c r="BW69" t="s">
        <v>167</v>
      </c>
      <c r="BX69" t="s">
        <v>168</v>
      </c>
      <c r="BZ69" t="s">
        <v>973</v>
      </c>
    </row>
    <row r="70" spans="1:78">
      <c r="A70" t="s">
        <v>244</v>
      </c>
      <c r="B70" t="s">
        <v>885</v>
      </c>
      <c r="C70" t="s">
        <v>54</v>
      </c>
      <c r="D70" t="s">
        <v>1</v>
      </c>
      <c r="E70" t="s">
        <v>115</v>
      </c>
      <c r="F70" t="s">
        <v>99</v>
      </c>
      <c r="G70" t="s">
        <v>100</v>
      </c>
      <c r="H70" t="s">
        <v>128</v>
      </c>
      <c r="I70" t="s">
        <v>100</v>
      </c>
      <c r="J70" t="s">
        <v>101</v>
      </c>
      <c r="K70" t="s">
        <v>559</v>
      </c>
      <c r="L70" t="s">
        <v>559</v>
      </c>
      <c r="M70" t="s">
        <v>100</v>
      </c>
      <c r="N70" t="s">
        <v>464</v>
      </c>
      <c r="O70" t="s">
        <v>100</v>
      </c>
      <c r="Q70" t="s">
        <v>464</v>
      </c>
      <c r="R70" t="s">
        <v>119</v>
      </c>
      <c r="S70" t="s">
        <v>130</v>
      </c>
      <c r="T70" t="s">
        <v>120</v>
      </c>
      <c r="U70" t="s">
        <v>101</v>
      </c>
      <c r="V70" t="s">
        <v>121</v>
      </c>
      <c r="W70" t="s">
        <v>122</v>
      </c>
      <c r="X70" t="s">
        <v>123</v>
      </c>
      <c r="Y70">
        <v>1</v>
      </c>
      <c r="Z70" t="s">
        <v>565</v>
      </c>
      <c r="AA70" s="280">
        <v>38608</v>
      </c>
      <c r="AB70" t="s">
        <v>114</v>
      </c>
      <c r="AC70" t="s">
        <v>124</v>
      </c>
      <c r="AD70" s="280">
        <v>44651</v>
      </c>
      <c r="AE70" t="s">
        <v>125</v>
      </c>
      <c r="AF70">
        <v>6</v>
      </c>
      <c r="AG70">
        <v>0</v>
      </c>
      <c r="AH70">
        <v>0</v>
      </c>
      <c r="AI70" t="s">
        <v>126</v>
      </c>
      <c r="AL70">
        <v>1</v>
      </c>
      <c r="AN70">
        <v>1</v>
      </c>
      <c r="AO70">
        <v>0</v>
      </c>
      <c r="AP70" t="s">
        <v>1050</v>
      </c>
      <c r="AR70" t="s">
        <v>127</v>
      </c>
      <c r="AS70">
        <v>1482</v>
      </c>
      <c r="AU70">
        <v>0</v>
      </c>
      <c r="AV70">
        <v>0</v>
      </c>
      <c r="AW70">
        <v>0</v>
      </c>
      <c r="AX70">
        <v>1482</v>
      </c>
      <c r="AY70">
        <v>82.333333333333485</v>
      </c>
      <c r="AZ70">
        <v>0</v>
      </c>
      <c r="BC70">
        <v>-1399.6666666666665</v>
      </c>
      <c r="BE70" t="s">
        <v>114</v>
      </c>
      <c r="BH70">
        <v>-82.333333333333485</v>
      </c>
      <c r="BI70">
        <v>-6.861111111111124</v>
      </c>
      <c r="BK70" t="s">
        <v>116</v>
      </c>
      <c r="BL70">
        <v>0</v>
      </c>
      <c r="BM70">
        <v>-1482</v>
      </c>
      <c r="BR70">
        <v>0</v>
      </c>
      <c r="BS70">
        <v>0</v>
      </c>
      <c r="BW70" t="s">
        <v>167</v>
      </c>
      <c r="BX70" t="s">
        <v>168</v>
      </c>
      <c r="BZ70" t="s">
        <v>974</v>
      </c>
    </row>
    <row r="71" spans="1:78">
      <c r="A71" t="s">
        <v>245</v>
      </c>
      <c r="B71" t="s">
        <v>859</v>
      </c>
      <c r="C71" t="s">
        <v>54</v>
      </c>
      <c r="D71" t="s">
        <v>1</v>
      </c>
      <c r="E71" t="s">
        <v>115</v>
      </c>
      <c r="F71" t="s">
        <v>99</v>
      </c>
      <c r="G71" t="s">
        <v>100</v>
      </c>
      <c r="H71" t="s">
        <v>128</v>
      </c>
      <c r="I71" t="s">
        <v>100</v>
      </c>
      <c r="J71" t="s">
        <v>101</v>
      </c>
      <c r="K71" t="s">
        <v>559</v>
      </c>
      <c r="L71" t="s">
        <v>559</v>
      </c>
      <c r="M71" t="s">
        <v>100</v>
      </c>
      <c r="N71" t="s">
        <v>464</v>
      </c>
      <c r="O71" t="s">
        <v>100</v>
      </c>
      <c r="Q71" t="s">
        <v>464</v>
      </c>
      <c r="R71" t="s">
        <v>119</v>
      </c>
      <c r="S71" t="s">
        <v>130</v>
      </c>
      <c r="T71" t="s">
        <v>120</v>
      </c>
      <c r="U71" t="s">
        <v>101</v>
      </c>
      <c r="V71" t="s">
        <v>121</v>
      </c>
      <c r="W71" t="s">
        <v>122</v>
      </c>
      <c r="X71" t="s">
        <v>123</v>
      </c>
      <c r="Y71">
        <v>1</v>
      </c>
      <c r="Z71" t="s">
        <v>565</v>
      </c>
      <c r="AA71" s="280">
        <v>38608</v>
      </c>
      <c r="AB71" t="s">
        <v>114</v>
      </c>
      <c r="AC71" t="s">
        <v>124</v>
      </c>
      <c r="AD71" s="280">
        <v>44651</v>
      </c>
      <c r="AE71" t="s">
        <v>125</v>
      </c>
      <c r="AF71">
        <v>6</v>
      </c>
      <c r="AG71">
        <v>0</v>
      </c>
      <c r="AH71">
        <v>0</v>
      </c>
      <c r="AI71" t="s">
        <v>126</v>
      </c>
      <c r="AL71">
        <v>1</v>
      </c>
      <c r="AN71">
        <v>1</v>
      </c>
      <c r="AO71">
        <v>0</v>
      </c>
      <c r="AP71" t="s">
        <v>1050</v>
      </c>
      <c r="AR71" t="s">
        <v>127</v>
      </c>
      <c r="AS71">
        <v>1482</v>
      </c>
      <c r="AU71">
        <v>0</v>
      </c>
      <c r="AV71">
        <v>0</v>
      </c>
      <c r="AW71">
        <v>0</v>
      </c>
      <c r="AX71">
        <v>1482</v>
      </c>
      <c r="AY71">
        <v>82.333333333333485</v>
      </c>
      <c r="AZ71">
        <v>0</v>
      </c>
      <c r="BC71">
        <v>-1399.6666666666665</v>
      </c>
      <c r="BE71" t="s">
        <v>114</v>
      </c>
      <c r="BH71">
        <v>-82.333333333333485</v>
      </c>
      <c r="BI71">
        <v>-6.861111111111124</v>
      </c>
      <c r="BK71" t="s">
        <v>116</v>
      </c>
      <c r="BL71">
        <v>0</v>
      </c>
      <c r="BM71">
        <v>-1482</v>
      </c>
      <c r="BR71">
        <v>0</v>
      </c>
      <c r="BS71">
        <v>0</v>
      </c>
      <c r="BW71" t="s">
        <v>167</v>
      </c>
      <c r="BX71" t="s">
        <v>168</v>
      </c>
      <c r="BZ71" t="s">
        <v>944</v>
      </c>
    </row>
    <row r="72" spans="1:78">
      <c r="A72" t="s">
        <v>246</v>
      </c>
      <c r="B72" t="s">
        <v>872</v>
      </c>
      <c r="C72" t="s">
        <v>54</v>
      </c>
      <c r="D72" t="s">
        <v>1</v>
      </c>
      <c r="E72" t="s">
        <v>115</v>
      </c>
      <c r="F72" t="s">
        <v>99</v>
      </c>
      <c r="G72" t="s">
        <v>100</v>
      </c>
      <c r="H72" t="s">
        <v>128</v>
      </c>
      <c r="I72" t="s">
        <v>100</v>
      </c>
      <c r="J72" t="s">
        <v>101</v>
      </c>
      <c r="K72" t="s">
        <v>559</v>
      </c>
      <c r="L72" t="s">
        <v>559</v>
      </c>
      <c r="M72" t="s">
        <v>100</v>
      </c>
      <c r="N72" t="s">
        <v>464</v>
      </c>
      <c r="O72" t="s">
        <v>100</v>
      </c>
      <c r="Q72" t="s">
        <v>464</v>
      </c>
      <c r="R72" t="s">
        <v>119</v>
      </c>
      <c r="S72" t="s">
        <v>130</v>
      </c>
      <c r="T72" t="s">
        <v>120</v>
      </c>
      <c r="U72" t="s">
        <v>101</v>
      </c>
      <c r="V72" t="s">
        <v>121</v>
      </c>
      <c r="W72" t="s">
        <v>122</v>
      </c>
      <c r="X72" t="s">
        <v>123</v>
      </c>
      <c r="Y72">
        <v>1</v>
      </c>
      <c r="Z72" t="s">
        <v>565</v>
      </c>
      <c r="AA72" s="280">
        <v>38608</v>
      </c>
      <c r="AB72" t="s">
        <v>114</v>
      </c>
      <c r="AC72" t="s">
        <v>124</v>
      </c>
      <c r="AD72" s="280">
        <v>44651</v>
      </c>
      <c r="AE72" t="s">
        <v>125</v>
      </c>
      <c r="AF72">
        <v>6</v>
      </c>
      <c r="AG72">
        <v>0</v>
      </c>
      <c r="AH72">
        <v>0</v>
      </c>
      <c r="AI72" t="s">
        <v>126</v>
      </c>
      <c r="AL72">
        <v>1</v>
      </c>
      <c r="AN72">
        <v>1</v>
      </c>
      <c r="AO72">
        <v>0</v>
      </c>
      <c r="AP72" t="s">
        <v>1050</v>
      </c>
      <c r="AR72" t="s">
        <v>127</v>
      </c>
      <c r="AS72">
        <v>1482</v>
      </c>
      <c r="AU72">
        <v>0</v>
      </c>
      <c r="AV72">
        <v>0</v>
      </c>
      <c r="AW72">
        <v>0</v>
      </c>
      <c r="AX72">
        <v>1482</v>
      </c>
      <c r="AY72">
        <v>82.333333333333485</v>
      </c>
      <c r="AZ72">
        <v>0</v>
      </c>
      <c r="BC72">
        <v>-1399.6666666666665</v>
      </c>
      <c r="BE72" t="s">
        <v>114</v>
      </c>
      <c r="BH72">
        <v>-82.333333333333485</v>
      </c>
      <c r="BI72">
        <v>-6.861111111111124</v>
      </c>
      <c r="BK72" t="s">
        <v>116</v>
      </c>
      <c r="BL72">
        <v>0</v>
      </c>
      <c r="BM72">
        <v>-1482</v>
      </c>
      <c r="BR72">
        <v>0</v>
      </c>
      <c r="BS72">
        <v>0</v>
      </c>
      <c r="BW72" t="s">
        <v>167</v>
      </c>
      <c r="BX72" t="s">
        <v>168</v>
      </c>
      <c r="BZ72" t="s">
        <v>956</v>
      </c>
    </row>
    <row r="73" spans="1:78">
      <c r="A73" t="s">
        <v>247</v>
      </c>
      <c r="B73" t="s">
        <v>883</v>
      </c>
      <c r="C73" t="s">
        <v>54</v>
      </c>
      <c r="D73" t="s">
        <v>1</v>
      </c>
      <c r="E73" t="s">
        <v>115</v>
      </c>
      <c r="F73" t="s">
        <v>99</v>
      </c>
      <c r="G73" t="s">
        <v>100</v>
      </c>
      <c r="H73" t="s">
        <v>128</v>
      </c>
      <c r="I73" t="s">
        <v>100</v>
      </c>
      <c r="J73" t="s">
        <v>101</v>
      </c>
      <c r="K73" t="s">
        <v>559</v>
      </c>
      <c r="L73" t="s">
        <v>559</v>
      </c>
      <c r="M73" t="s">
        <v>100</v>
      </c>
      <c r="N73" t="s">
        <v>464</v>
      </c>
      <c r="O73" t="s">
        <v>100</v>
      </c>
      <c r="Q73" t="s">
        <v>464</v>
      </c>
      <c r="R73" t="s">
        <v>119</v>
      </c>
      <c r="S73" t="s">
        <v>130</v>
      </c>
      <c r="T73" t="s">
        <v>120</v>
      </c>
      <c r="U73" t="s">
        <v>101</v>
      </c>
      <c r="V73" t="s">
        <v>121</v>
      </c>
      <c r="W73" t="s">
        <v>122</v>
      </c>
      <c r="X73" t="s">
        <v>123</v>
      </c>
      <c r="Y73">
        <v>1</v>
      </c>
      <c r="Z73" t="s">
        <v>565</v>
      </c>
      <c r="AA73" s="280">
        <v>38608</v>
      </c>
      <c r="AB73" t="s">
        <v>114</v>
      </c>
      <c r="AC73" t="s">
        <v>124</v>
      </c>
      <c r="AD73" s="280">
        <v>44651</v>
      </c>
      <c r="AE73" t="s">
        <v>125</v>
      </c>
      <c r="AF73">
        <v>6</v>
      </c>
      <c r="AG73">
        <v>0</v>
      </c>
      <c r="AH73">
        <v>0</v>
      </c>
      <c r="AI73" t="s">
        <v>126</v>
      </c>
      <c r="AL73">
        <v>1</v>
      </c>
      <c r="AN73">
        <v>1</v>
      </c>
      <c r="AO73">
        <v>0</v>
      </c>
      <c r="AP73" t="s">
        <v>1050</v>
      </c>
      <c r="AR73" t="s">
        <v>127</v>
      </c>
      <c r="AS73">
        <v>1482</v>
      </c>
      <c r="AU73">
        <v>0</v>
      </c>
      <c r="AV73">
        <v>0</v>
      </c>
      <c r="AW73">
        <v>0</v>
      </c>
      <c r="AX73">
        <v>1482</v>
      </c>
      <c r="AY73">
        <v>82.333333333333485</v>
      </c>
      <c r="AZ73">
        <v>0</v>
      </c>
      <c r="BC73">
        <v>-1399.6666666666665</v>
      </c>
      <c r="BE73" t="s">
        <v>114</v>
      </c>
      <c r="BH73">
        <v>-82.333333333333485</v>
      </c>
      <c r="BI73">
        <v>-6.861111111111124</v>
      </c>
      <c r="BK73" t="s">
        <v>116</v>
      </c>
      <c r="BL73">
        <v>0</v>
      </c>
      <c r="BM73">
        <v>-1482</v>
      </c>
      <c r="BR73">
        <v>0</v>
      </c>
      <c r="BS73">
        <v>0</v>
      </c>
      <c r="BW73" t="s">
        <v>167</v>
      </c>
      <c r="BX73" t="s">
        <v>168</v>
      </c>
      <c r="BZ73" t="s">
        <v>972</v>
      </c>
    </row>
    <row r="74" spans="1:78">
      <c r="A74" t="s">
        <v>248</v>
      </c>
      <c r="B74" t="s">
        <v>881</v>
      </c>
      <c r="C74" t="s">
        <v>54</v>
      </c>
      <c r="D74" t="s">
        <v>1</v>
      </c>
      <c r="E74" t="s">
        <v>115</v>
      </c>
      <c r="F74" t="s">
        <v>99</v>
      </c>
      <c r="G74" t="s">
        <v>100</v>
      </c>
      <c r="H74" t="s">
        <v>128</v>
      </c>
      <c r="I74" t="s">
        <v>100</v>
      </c>
      <c r="J74" t="s">
        <v>101</v>
      </c>
      <c r="K74" t="s">
        <v>559</v>
      </c>
      <c r="L74" t="s">
        <v>559</v>
      </c>
      <c r="M74" t="s">
        <v>100</v>
      </c>
      <c r="N74" t="s">
        <v>465</v>
      </c>
      <c r="O74" t="s">
        <v>100</v>
      </c>
      <c r="Q74" t="s">
        <v>465</v>
      </c>
      <c r="R74" t="s">
        <v>119</v>
      </c>
      <c r="S74" t="s">
        <v>130</v>
      </c>
      <c r="T74" t="s">
        <v>120</v>
      </c>
      <c r="U74" t="s">
        <v>101</v>
      </c>
      <c r="V74" t="s">
        <v>121</v>
      </c>
      <c r="W74" t="s">
        <v>122</v>
      </c>
      <c r="X74" t="s">
        <v>123</v>
      </c>
      <c r="Y74">
        <v>1</v>
      </c>
      <c r="Z74" t="s">
        <v>566</v>
      </c>
      <c r="AA74" s="280">
        <v>38611</v>
      </c>
      <c r="AB74" t="s">
        <v>114</v>
      </c>
      <c r="AC74" t="s">
        <v>124</v>
      </c>
      <c r="AD74" s="280">
        <v>44651</v>
      </c>
      <c r="AE74" t="s">
        <v>125</v>
      </c>
      <c r="AF74">
        <v>6</v>
      </c>
      <c r="AG74">
        <v>0</v>
      </c>
      <c r="AH74">
        <v>0</v>
      </c>
      <c r="AI74" t="s">
        <v>126</v>
      </c>
      <c r="AL74">
        <v>1</v>
      </c>
      <c r="AN74">
        <v>1</v>
      </c>
      <c r="AO74">
        <v>0</v>
      </c>
      <c r="AP74" t="s">
        <v>1052</v>
      </c>
      <c r="AR74" t="s">
        <v>127</v>
      </c>
      <c r="AS74">
        <v>2052</v>
      </c>
      <c r="AU74">
        <v>0</v>
      </c>
      <c r="AV74">
        <v>0</v>
      </c>
      <c r="AW74">
        <v>0</v>
      </c>
      <c r="AX74">
        <v>2052</v>
      </c>
      <c r="AY74">
        <v>114</v>
      </c>
      <c r="AZ74">
        <v>0</v>
      </c>
      <c r="BC74">
        <v>-1938</v>
      </c>
      <c r="BE74" t="s">
        <v>114</v>
      </c>
      <c r="BH74">
        <v>-114</v>
      </c>
      <c r="BI74">
        <v>-9.5</v>
      </c>
      <c r="BK74" t="s">
        <v>116</v>
      </c>
      <c r="BL74">
        <v>0</v>
      </c>
      <c r="BM74">
        <v>-2052</v>
      </c>
      <c r="BR74">
        <v>0</v>
      </c>
      <c r="BS74">
        <v>0</v>
      </c>
      <c r="BW74" t="s">
        <v>167</v>
      </c>
      <c r="BX74" t="s">
        <v>168</v>
      </c>
      <c r="BZ74" t="s">
        <v>940</v>
      </c>
    </row>
    <row r="75" spans="1:78">
      <c r="A75" t="s">
        <v>249</v>
      </c>
      <c r="B75" t="s">
        <v>881</v>
      </c>
      <c r="C75" t="s">
        <v>54</v>
      </c>
      <c r="D75" t="s">
        <v>1</v>
      </c>
      <c r="E75" t="s">
        <v>115</v>
      </c>
      <c r="F75" t="s">
        <v>99</v>
      </c>
      <c r="G75" t="s">
        <v>100</v>
      </c>
      <c r="H75" t="s">
        <v>128</v>
      </c>
      <c r="I75" t="s">
        <v>100</v>
      </c>
      <c r="J75" t="s">
        <v>101</v>
      </c>
      <c r="K75" t="s">
        <v>559</v>
      </c>
      <c r="L75" t="s">
        <v>559</v>
      </c>
      <c r="M75" t="s">
        <v>100</v>
      </c>
      <c r="N75" t="s">
        <v>465</v>
      </c>
      <c r="O75" t="s">
        <v>100</v>
      </c>
      <c r="Q75" t="s">
        <v>465</v>
      </c>
      <c r="R75" t="s">
        <v>119</v>
      </c>
      <c r="S75" t="s">
        <v>130</v>
      </c>
      <c r="T75" t="s">
        <v>120</v>
      </c>
      <c r="U75" t="s">
        <v>101</v>
      </c>
      <c r="V75" t="s">
        <v>121</v>
      </c>
      <c r="W75" t="s">
        <v>122</v>
      </c>
      <c r="X75" t="s">
        <v>123</v>
      </c>
      <c r="Y75">
        <v>1</v>
      </c>
      <c r="Z75" t="s">
        <v>566</v>
      </c>
      <c r="AA75" s="280">
        <v>38611</v>
      </c>
      <c r="AB75" t="s">
        <v>114</v>
      </c>
      <c r="AC75" t="s">
        <v>124</v>
      </c>
      <c r="AD75" s="280">
        <v>44651</v>
      </c>
      <c r="AE75" t="s">
        <v>125</v>
      </c>
      <c r="AF75">
        <v>6</v>
      </c>
      <c r="AG75">
        <v>0</v>
      </c>
      <c r="AH75">
        <v>0</v>
      </c>
      <c r="AI75" t="s">
        <v>126</v>
      </c>
      <c r="AL75">
        <v>1</v>
      </c>
      <c r="AN75">
        <v>1</v>
      </c>
      <c r="AO75">
        <v>0</v>
      </c>
      <c r="AP75" t="s">
        <v>1050</v>
      </c>
      <c r="AR75" t="s">
        <v>127</v>
      </c>
      <c r="AS75">
        <v>2052</v>
      </c>
      <c r="AU75">
        <v>0</v>
      </c>
      <c r="AV75">
        <v>0</v>
      </c>
      <c r="AW75">
        <v>0</v>
      </c>
      <c r="AX75">
        <v>2052</v>
      </c>
      <c r="AY75">
        <v>114</v>
      </c>
      <c r="AZ75">
        <v>0</v>
      </c>
      <c r="BC75">
        <v>-1938</v>
      </c>
      <c r="BE75" t="s">
        <v>114</v>
      </c>
      <c r="BH75">
        <v>-114</v>
      </c>
      <c r="BI75">
        <v>-9.5</v>
      </c>
      <c r="BK75" t="s">
        <v>116</v>
      </c>
      <c r="BL75">
        <v>0</v>
      </c>
      <c r="BM75">
        <v>-2052</v>
      </c>
      <c r="BR75">
        <v>0</v>
      </c>
      <c r="BS75">
        <v>0</v>
      </c>
      <c r="BW75" t="s">
        <v>167</v>
      </c>
      <c r="BX75" t="s">
        <v>168</v>
      </c>
      <c r="BZ75" t="s">
        <v>940</v>
      </c>
    </row>
    <row r="76" spans="1:78">
      <c r="A76" t="s">
        <v>250</v>
      </c>
      <c r="B76" t="s">
        <v>886</v>
      </c>
      <c r="C76" t="s">
        <v>54</v>
      </c>
      <c r="D76" t="s">
        <v>1</v>
      </c>
      <c r="E76" t="s">
        <v>115</v>
      </c>
      <c r="F76" t="s">
        <v>99</v>
      </c>
      <c r="G76" t="s">
        <v>100</v>
      </c>
      <c r="H76" t="s">
        <v>128</v>
      </c>
      <c r="I76" t="s">
        <v>100</v>
      </c>
      <c r="J76" t="s">
        <v>101</v>
      </c>
      <c r="K76" t="s">
        <v>559</v>
      </c>
      <c r="L76" t="s">
        <v>559</v>
      </c>
      <c r="M76" t="s">
        <v>100</v>
      </c>
      <c r="N76" t="s">
        <v>465</v>
      </c>
      <c r="O76" t="s">
        <v>100</v>
      </c>
      <c r="Q76" t="s">
        <v>465</v>
      </c>
      <c r="R76" t="s">
        <v>119</v>
      </c>
      <c r="S76" t="s">
        <v>130</v>
      </c>
      <c r="T76" t="s">
        <v>120</v>
      </c>
      <c r="U76" t="s">
        <v>101</v>
      </c>
      <c r="V76" t="s">
        <v>121</v>
      </c>
      <c r="W76" t="s">
        <v>122</v>
      </c>
      <c r="X76" t="s">
        <v>123</v>
      </c>
      <c r="Y76">
        <v>1</v>
      </c>
      <c r="Z76" t="s">
        <v>566</v>
      </c>
      <c r="AA76" s="280">
        <v>38611</v>
      </c>
      <c r="AB76" t="s">
        <v>114</v>
      </c>
      <c r="AC76" t="s">
        <v>124</v>
      </c>
      <c r="AD76" s="280">
        <v>44651</v>
      </c>
      <c r="AE76" t="s">
        <v>125</v>
      </c>
      <c r="AF76">
        <v>6</v>
      </c>
      <c r="AG76">
        <v>0</v>
      </c>
      <c r="AH76">
        <v>0</v>
      </c>
      <c r="AI76" t="s">
        <v>126</v>
      </c>
      <c r="AL76">
        <v>1</v>
      </c>
      <c r="AN76">
        <v>1</v>
      </c>
      <c r="AO76">
        <v>0</v>
      </c>
      <c r="AP76" t="s">
        <v>1050</v>
      </c>
      <c r="AR76" t="s">
        <v>127</v>
      </c>
      <c r="AS76">
        <v>2052</v>
      </c>
      <c r="AU76">
        <v>0</v>
      </c>
      <c r="AV76">
        <v>0</v>
      </c>
      <c r="AW76">
        <v>0</v>
      </c>
      <c r="AX76">
        <v>2052</v>
      </c>
      <c r="AY76">
        <v>114</v>
      </c>
      <c r="AZ76">
        <v>0</v>
      </c>
      <c r="BC76">
        <v>-1938</v>
      </c>
      <c r="BE76" t="s">
        <v>114</v>
      </c>
      <c r="BH76">
        <v>-114</v>
      </c>
      <c r="BI76">
        <v>-9.5</v>
      </c>
      <c r="BK76" t="s">
        <v>116</v>
      </c>
      <c r="BL76">
        <v>0</v>
      </c>
      <c r="BM76">
        <v>-2052</v>
      </c>
      <c r="BR76">
        <v>0</v>
      </c>
      <c r="BS76">
        <v>0</v>
      </c>
      <c r="BW76" t="s">
        <v>167</v>
      </c>
      <c r="BX76" t="s">
        <v>168</v>
      </c>
      <c r="BZ76" t="s">
        <v>975</v>
      </c>
    </row>
    <row r="77" spans="1:78">
      <c r="A77" t="s">
        <v>251</v>
      </c>
      <c r="B77" t="s">
        <v>887</v>
      </c>
      <c r="C77" t="s">
        <v>54</v>
      </c>
      <c r="D77" t="s">
        <v>1</v>
      </c>
      <c r="E77" t="s">
        <v>115</v>
      </c>
      <c r="F77" t="s">
        <v>99</v>
      </c>
      <c r="G77" t="s">
        <v>100</v>
      </c>
      <c r="H77" t="s">
        <v>128</v>
      </c>
      <c r="I77" t="s">
        <v>100</v>
      </c>
      <c r="J77" t="s">
        <v>101</v>
      </c>
      <c r="K77" t="s">
        <v>559</v>
      </c>
      <c r="L77" t="s">
        <v>559</v>
      </c>
      <c r="M77" t="s">
        <v>100</v>
      </c>
      <c r="N77" t="s">
        <v>465</v>
      </c>
      <c r="O77" t="s">
        <v>100</v>
      </c>
      <c r="Q77" t="s">
        <v>465</v>
      </c>
      <c r="R77" t="s">
        <v>119</v>
      </c>
      <c r="S77" t="s">
        <v>130</v>
      </c>
      <c r="T77" t="s">
        <v>120</v>
      </c>
      <c r="U77" t="s">
        <v>101</v>
      </c>
      <c r="V77" t="s">
        <v>121</v>
      </c>
      <c r="W77" t="s">
        <v>122</v>
      </c>
      <c r="X77" t="s">
        <v>123</v>
      </c>
      <c r="Y77">
        <v>1</v>
      </c>
      <c r="Z77" t="s">
        <v>567</v>
      </c>
      <c r="AA77" s="280">
        <v>38604</v>
      </c>
      <c r="AB77" t="s">
        <v>114</v>
      </c>
      <c r="AC77" t="s">
        <v>124</v>
      </c>
      <c r="AD77" s="280">
        <v>44651</v>
      </c>
      <c r="AE77" t="s">
        <v>125</v>
      </c>
      <c r="AF77">
        <v>6</v>
      </c>
      <c r="AG77">
        <v>0</v>
      </c>
      <c r="AH77">
        <v>0</v>
      </c>
      <c r="AI77" t="s">
        <v>126</v>
      </c>
      <c r="AL77">
        <v>1</v>
      </c>
      <c r="AN77">
        <v>1</v>
      </c>
      <c r="AO77">
        <v>0</v>
      </c>
      <c r="AP77" t="s">
        <v>1050</v>
      </c>
      <c r="AR77" t="s">
        <v>127</v>
      </c>
      <c r="AS77">
        <v>2052</v>
      </c>
      <c r="AU77">
        <v>0</v>
      </c>
      <c r="AV77">
        <v>0</v>
      </c>
      <c r="AW77">
        <v>0</v>
      </c>
      <c r="AX77">
        <v>2052</v>
      </c>
      <c r="AY77">
        <v>114</v>
      </c>
      <c r="AZ77">
        <v>0</v>
      </c>
      <c r="BC77">
        <v>-1938</v>
      </c>
      <c r="BE77" t="s">
        <v>114</v>
      </c>
      <c r="BH77">
        <v>-114</v>
      </c>
      <c r="BI77">
        <v>-9.5</v>
      </c>
      <c r="BK77" t="s">
        <v>116</v>
      </c>
      <c r="BL77">
        <v>0</v>
      </c>
      <c r="BM77">
        <v>-2052</v>
      </c>
      <c r="BR77">
        <v>0</v>
      </c>
      <c r="BS77">
        <v>0</v>
      </c>
      <c r="BW77" t="s">
        <v>167</v>
      </c>
      <c r="BX77" t="s">
        <v>168</v>
      </c>
      <c r="BZ77" t="s">
        <v>976</v>
      </c>
    </row>
    <row r="78" spans="1:78">
      <c r="A78" t="s">
        <v>252</v>
      </c>
      <c r="B78" t="s">
        <v>864</v>
      </c>
      <c r="C78" t="s">
        <v>54</v>
      </c>
      <c r="D78" t="s">
        <v>1</v>
      </c>
      <c r="E78" t="s">
        <v>115</v>
      </c>
      <c r="F78" t="s">
        <v>99</v>
      </c>
      <c r="G78" t="s">
        <v>100</v>
      </c>
      <c r="H78" t="s">
        <v>128</v>
      </c>
      <c r="I78" t="s">
        <v>100</v>
      </c>
      <c r="J78" t="s">
        <v>101</v>
      </c>
      <c r="K78" t="s">
        <v>559</v>
      </c>
      <c r="L78" t="s">
        <v>559</v>
      </c>
      <c r="M78" t="s">
        <v>100</v>
      </c>
      <c r="N78" t="s">
        <v>465</v>
      </c>
      <c r="O78" t="s">
        <v>100</v>
      </c>
      <c r="Q78" t="s">
        <v>465</v>
      </c>
      <c r="R78" t="s">
        <v>119</v>
      </c>
      <c r="S78" t="s">
        <v>130</v>
      </c>
      <c r="T78" t="s">
        <v>120</v>
      </c>
      <c r="U78" t="s">
        <v>101</v>
      </c>
      <c r="V78" t="s">
        <v>121</v>
      </c>
      <c r="W78" t="s">
        <v>122</v>
      </c>
      <c r="X78" t="s">
        <v>123</v>
      </c>
      <c r="Y78">
        <v>1</v>
      </c>
      <c r="Z78" t="s">
        <v>566</v>
      </c>
      <c r="AA78" s="280">
        <v>38611</v>
      </c>
      <c r="AB78" t="s">
        <v>114</v>
      </c>
      <c r="AC78" t="s">
        <v>124</v>
      </c>
      <c r="AD78" s="280">
        <v>44651</v>
      </c>
      <c r="AE78" t="s">
        <v>125</v>
      </c>
      <c r="AF78">
        <v>6</v>
      </c>
      <c r="AG78">
        <v>0</v>
      </c>
      <c r="AH78">
        <v>0</v>
      </c>
      <c r="AI78" t="s">
        <v>126</v>
      </c>
      <c r="AL78">
        <v>1</v>
      </c>
      <c r="AN78">
        <v>1</v>
      </c>
      <c r="AO78">
        <v>0</v>
      </c>
      <c r="AP78" t="s">
        <v>1050</v>
      </c>
      <c r="AR78" t="s">
        <v>127</v>
      </c>
      <c r="AS78">
        <v>2052</v>
      </c>
      <c r="AU78">
        <v>0</v>
      </c>
      <c r="AV78">
        <v>0</v>
      </c>
      <c r="AW78">
        <v>0</v>
      </c>
      <c r="AX78">
        <v>2052</v>
      </c>
      <c r="AY78">
        <v>114</v>
      </c>
      <c r="AZ78">
        <v>0</v>
      </c>
      <c r="BC78">
        <v>-1938</v>
      </c>
      <c r="BE78" t="s">
        <v>114</v>
      </c>
      <c r="BH78">
        <v>-114</v>
      </c>
      <c r="BI78">
        <v>-9.5</v>
      </c>
      <c r="BK78" t="s">
        <v>116</v>
      </c>
      <c r="BL78">
        <v>0</v>
      </c>
      <c r="BM78">
        <v>-2052</v>
      </c>
      <c r="BR78">
        <v>0</v>
      </c>
      <c r="BS78">
        <v>0</v>
      </c>
      <c r="BW78" t="s">
        <v>167</v>
      </c>
      <c r="BX78" t="s">
        <v>168</v>
      </c>
      <c r="BZ78" t="s">
        <v>948</v>
      </c>
    </row>
    <row r="79" spans="1:78">
      <c r="A79" t="s">
        <v>253</v>
      </c>
      <c r="B79" t="s">
        <v>888</v>
      </c>
      <c r="C79" t="s">
        <v>54</v>
      </c>
      <c r="D79" t="s">
        <v>1</v>
      </c>
      <c r="E79" t="s">
        <v>115</v>
      </c>
      <c r="F79" t="s">
        <v>99</v>
      </c>
      <c r="G79" t="s">
        <v>100</v>
      </c>
      <c r="H79" t="s">
        <v>128</v>
      </c>
      <c r="I79" t="s">
        <v>100</v>
      </c>
      <c r="J79" t="s">
        <v>101</v>
      </c>
      <c r="K79" t="s">
        <v>559</v>
      </c>
      <c r="L79" t="s">
        <v>559</v>
      </c>
      <c r="M79" t="s">
        <v>100</v>
      </c>
      <c r="N79" t="s">
        <v>465</v>
      </c>
      <c r="O79" t="s">
        <v>100</v>
      </c>
      <c r="Q79" t="s">
        <v>465</v>
      </c>
      <c r="R79" t="s">
        <v>119</v>
      </c>
      <c r="S79" t="s">
        <v>130</v>
      </c>
      <c r="T79" t="s">
        <v>120</v>
      </c>
      <c r="U79" t="s">
        <v>101</v>
      </c>
      <c r="V79" t="s">
        <v>121</v>
      </c>
      <c r="W79" t="s">
        <v>122</v>
      </c>
      <c r="X79" t="s">
        <v>123</v>
      </c>
      <c r="Y79">
        <v>1</v>
      </c>
      <c r="Z79" t="s">
        <v>566</v>
      </c>
      <c r="AA79" s="280">
        <v>38611</v>
      </c>
      <c r="AB79" t="s">
        <v>114</v>
      </c>
      <c r="AC79" t="s">
        <v>124</v>
      </c>
      <c r="AD79" s="280">
        <v>44651</v>
      </c>
      <c r="AE79" t="s">
        <v>125</v>
      </c>
      <c r="AF79">
        <v>6</v>
      </c>
      <c r="AG79">
        <v>0</v>
      </c>
      <c r="AH79">
        <v>0</v>
      </c>
      <c r="AI79" t="s">
        <v>126</v>
      </c>
      <c r="AL79">
        <v>1</v>
      </c>
      <c r="AN79">
        <v>1</v>
      </c>
      <c r="AO79">
        <v>0</v>
      </c>
      <c r="AP79" t="s">
        <v>1050</v>
      </c>
      <c r="AR79" t="s">
        <v>127</v>
      </c>
      <c r="AS79">
        <v>2052</v>
      </c>
      <c r="AU79">
        <v>0</v>
      </c>
      <c r="AV79">
        <v>0</v>
      </c>
      <c r="AW79">
        <v>0</v>
      </c>
      <c r="AX79">
        <v>2052</v>
      </c>
      <c r="AY79">
        <v>114</v>
      </c>
      <c r="AZ79">
        <v>0</v>
      </c>
      <c r="BC79">
        <v>-1938</v>
      </c>
      <c r="BE79" t="s">
        <v>114</v>
      </c>
      <c r="BH79">
        <v>-114</v>
      </c>
      <c r="BI79">
        <v>-9.5</v>
      </c>
      <c r="BK79" t="s">
        <v>116</v>
      </c>
      <c r="BL79">
        <v>0</v>
      </c>
      <c r="BM79">
        <v>-2052</v>
      </c>
      <c r="BR79">
        <v>0</v>
      </c>
      <c r="BS79">
        <v>0</v>
      </c>
      <c r="BW79" t="s">
        <v>167</v>
      </c>
      <c r="BX79" t="s">
        <v>168</v>
      </c>
      <c r="BZ79" t="s">
        <v>977</v>
      </c>
    </row>
    <row r="80" spans="1:78">
      <c r="A80" t="s">
        <v>254</v>
      </c>
      <c r="B80" t="s">
        <v>879</v>
      </c>
      <c r="C80" t="s">
        <v>54</v>
      </c>
      <c r="D80" t="s">
        <v>1</v>
      </c>
      <c r="E80" t="s">
        <v>115</v>
      </c>
      <c r="F80" t="s">
        <v>99</v>
      </c>
      <c r="G80" t="s">
        <v>100</v>
      </c>
      <c r="H80" t="s">
        <v>128</v>
      </c>
      <c r="I80" t="s">
        <v>100</v>
      </c>
      <c r="J80" t="s">
        <v>101</v>
      </c>
      <c r="K80" t="s">
        <v>559</v>
      </c>
      <c r="L80" t="s">
        <v>559</v>
      </c>
      <c r="M80" t="s">
        <v>100</v>
      </c>
      <c r="N80" t="s">
        <v>465</v>
      </c>
      <c r="O80" t="s">
        <v>100</v>
      </c>
      <c r="Q80" t="s">
        <v>465</v>
      </c>
      <c r="R80" t="s">
        <v>119</v>
      </c>
      <c r="S80" t="s">
        <v>130</v>
      </c>
      <c r="T80" t="s">
        <v>120</v>
      </c>
      <c r="U80" t="s">
        <v>101</v>
      </c>
      <c r="V80" t="s">
        <v>121</v>
      </c>
      <c r="W80" t="s">
        <v>122</v>
      </c>
      <c r="X80" t="s">
        <v>123</v>
      </c>
      <c r="Y80">
        <v>1</v>
      </c>
      <c r="Z80" t="s">
        <v>566</v>
      </c>
      <c r="AA80" s="280">
        <v>38611</v>
      </c>
      <c r="AB80" t="s">
        <v>114</v>
      </c>
      <c r="AC80" t="s">
        <v>124</v>
      </c>
      <c r="AD80" s="280">
        <v>44651</v>
      </c>
      <c r="AE80" t="s">
        <v>125</v>
      </c>
      <c r="AF80">
        <v>6</v>
      </c>
      <c r="AG80">
        <v>0</v>
      </c>
      <c r="AH80">
        <v>0</v>
      </c>
      <c r="AI80" t="s">
        <v>126</v>
      </c>
      <c r="AL80">
        <v>1</v>
      </c>
      <c r="AN80">
        <v>1</v>
      </c>
      <c r="AO80">
        <v>0</v>
      </c>
      <c r="AP80" t="s">
        <v>1050</v>
      </c>
      <c r="AR80" t="s">
        <v>127</v>
      </c>
      <c r="AS80">
        <v>2052</v>
      </c>
      <c r="AU80">
        <v>0</v>
      </c>
      <c r="AV80">
        <v>0</v>
      </c>
      <c r="AW80">
        <v>0</v>
      </c>
      <c r="AX80">
        <v>2052</v>
      </c>
      <c r="AY80">
        <v>114</v>
      </c>
      <c r="AZ80">
        <v>0</v>
      </c>
      <c r="BC80">
        <v>-1938</v>
      </c>
      <c r="BE80" t="s">
        <v>114</v>
      </c>
      <c r="BH80">
        <v>-114</v>
      </c>
      <c r="BI80">
        <v>-9.5</v>
      </c>
      <c r="BK80" t="s">
        <v>116</v>
      </c>
      <c r="BL80">
        <v>0</v>
      </c>
      <c r="BM80">
        <v>-2052</v>
      </c>
      <c r="BR80">
        <v>0</v>
      </c>
      <c r="BS80">
        <v>0</v>
      </c>
      <c r="BW80" t="s">
        <v>167</v>
      </c>
      <c r="BX80" t="s">
        <v>168</v>
      </c>
      <c r="BZ80" t="s">
        <v>964</v>
      </c>
    </row>
    <row r="81" spans="1:78">
      <c r="A81" t="s">
        <v>255</v>
      </c>
      <c r="B81" t="s">
        <v>881</v>
      </c>
      <c r="C81" t="s">
        <v>54</v>
      </c>
      <c r="D81" t="s">
        <v>1</v>
      </c>
      <c r="E81" t="s">
        <v>115</v>
      </c>
      <c r="F81" t="s">
        <v>99</v>
      </c>
      <c r="G81" t="s">
        <v>100</v>
      </c>
      <c r="H81" t="s">
        <v>128</v>
      </c>
      <c r="I81" t="s">
        <v>100</v>
      </c>
      <c r="J81" t="s">
        <v>101</v>
      </c>
      <c r="K81" t="s">
        <v>559</v>
      </c>
      <c r="L81" t="s">
        <v>559</v>
      </c>
      <c r="M81" t="s">
        <v>100</v>
      </c>
      <c r="N81" t="s">
        <v>465</v>
      </c>
      <c r="O81" t="s">
        <v>100</v>
      </c>
      <c r="Q81" t="s">
        <v>465</v>
      </c>
      <c r="R81" t="s">
        <v>119</v>
      </c>
      <c r="S81" t="s">
        <v>130</v>
      </c>
      <c r="T81" t="s">
        <v>120</v>
      </c>
      <c r="U81" t="s">
        <v>101</v>
      </c>
      <c r="V81" t="s">
        <v>121</v>
      </c>
      <c r="W81" t="s">
        <v>122</v>
      </c>
      <c r="X81" t="s">
        <v>123</v>
      </c>
      <c r="Y81">
        <v>1</v>
      </c>
      <c r="Z81" t="s">
        <v>566</v>
      </c>
      <c r="AA81" s="280">
        <v>38611</v>
      </c>
      <c r="AB81" t="s">
        <v>114</v>
      </c>
      <c r="AC81" t="s">
        <v>124</v>
      </c>
      <c r="AD81" s="280">
        <v>44651</v>
      </c>
      <c r="AE81" t="s">
        <v>125</v>
      </c>
      <c r="AF81">
        <v>6</v>
      </c>
      <c r="AG81">
        <v>0</v>
      </c>
      <c r="AH81">
        <v>0</v>
      </c>
      <c r="AI81" t="s">
        <v>126</v>
      </c>
      <c r="AL81">
        <v>1</v>
      </c>
      <c r="AN81">
        <v>1</v>
      </c>
      <c r="AO81">
        <v>0</v>
      </c>
      <c r="AP81" t="s">
        <v>1050</v>
      </c>
      <c r="AR81" t="s">
        <v>127</v>
      </c>
      <c r="AS81">
        <v>2052</v>
      </c>
      <c r="AU81">
        <v>0</v>
      </c>
      <c r="AV81">
        <v>0</v>
      </c>
      <c r="AW81">
        <v>0</v>
      </c>
      <c r="AX81">
        <v>2052</v>
      </c>
      <c r="AY81">
        <v>114</v>
      </c>
      <c r="AZ81">
        <v>0</v>
      </c>
      <c r="BC81">
        <v>-1938</v>
      </c>
      <c r="BE81" t="s">
        <v>114</v>
      </c>
      <c r="BH81">
        <v>-114</v>
      </c>
      <c r="BI81">
        <v>-9.5</v>
      </c>
      <c r="BK81" t="s">
        <v>116</v>
      </c>
      <c r="BL81">
        <v>0</v>
      </c>
      <c r="BM81">
        <v>-2052</v>
      </c>
      <c r="BR81">
        <v>0</v>
      </c>
      <c r="BS81">
        <v>0</v>
      </c>
      <c r="BW81" t="s">
        <v>167</v>
      </c>
      <c r="BX81" t="s">
        <v>168</v>
      </c>
      <c r="BZ81" t="s">
        <v>940</v>
      </c>
    </row>
    <row r="82" spans="1:78">
      <c r="A82" t="s">
        <v>256</v>
      </c>
      <c r="B82" t="s">
        <v>889</v>
      </c>
      <c r="C82" t="s">
        <v>54</v>
      </c>
      <c r="D82" t="s">
        <v>1</v>
      </c>
      <c r="E82" t="s">
        <v>115</v>
      </c>
      <c r="F82" t="s">
        <v>99</v>
      </c>
      <c r="G82" t="s">
        <v>100</v>
      </c>
      <c r="H82" t="s">
        <v>128</v>
      </c>
      <c r="I82" t="s">
        <v>100</v>
      </c>
      <c r="J82" t="s">
        <v>101</v>
      </c>
      <c r="K82" t="s">
        <v>559</v>
      </c>
      <c r="L82" t="s">
        <v>559</v>
      </c>
      <c r="M82" t="s">
        <v>100</v>
      </c>
      <c r="N82" t="s">
        <v>465</v>
      </c>
      <c r="O82" t="s">
        <v>100</v>
      </c>
      <c r="Q82" t="s">
        <v>465</v>
      </c>
      <c r="R82" t="s">
        <v>119</v>
      </c>
      <c r="S82" t="s">
        <v>130</v>
      </c>
      <c r="T82" t="s">
        <v>120</v>
      </c>
      <c r="U82" t="s">
        <v>101</v>
      </c>
      <c r="V82" t="s">
        <v>121</v>
      </c>
      <c r="W82" t="s">
        <v>122</v>
      </c>
      <c r="X82" t="s">
        <v>123</v>
      </c>
      <c r="Y82">
        <v>1</v>
      </c>
      <c r="Z82" t="s">
        <v>566</v>
      </c>
      <c r="AA82" s="280">
        <v>38611</v>
      </c>
      <c r="AB82" t="s">
        <v>114</v>
      </c>
      <c r="AC82" t="s">
        <v>124</v>
      </c>
      <c r="AD82" s="280">
        <v>44651</v>
      </c>
      <c r="AE82" t="s">
        <v>125</v>
      </c>
      <c r="AF82">
        <v>6</v>
      </c>
      <c r="AG82">
        <v>0</v>
      </c>
      <c r="AH82">
        <v>0</v>
      </c>
      <c r="AI82" t="s">
        <v>126</v>
      </c>
      <c r="AL82">
        <v>1</v>
      </c>
      <c r="AN82">
        <v>1</v>
      </c>
      <c r="AO82">
        <v>0</v>
      </c>
      <c r="AP82" t="s">
        <v>1050</v>
      </c>
      <c r="AR82" t="s">
        <v>127</v>
      </c>
      <c r="AS82">
        <v>2052</v>
      </c>
      <c r="AU82">
        <v>0</v>
      </c>
      <c r="AV82">
        <v>0</v>
      </c>
      <c r="AW82">
        <v>0</v>
      </c>
      <c r="AX82">
        <v>2052</v>
      </c>
      <c r="AY82">
        <v>114</v>
      </c>
      <c r="AZ82">
        <v>0</v>
      </c>
      <c r="BC82">
        <v>-1938</v>
      </c>
      <c r="BE82" t="s">
        <v>114</v>
      </c>
      <c r="BH82">
        <v>-114</v>
      </c>
      <c r="BI82">
        <v>-9.5</v>
      </c>
      <c r="BK82" t="s">
        <v>116</v>
      </c>
      <c r="BL82">
        <v>0</v>
      </c>
      <c r="BM82">
        <v>-2052</v>
      </c>
      <c r="BR82">
        <v>0</v>
      </c>
      <c r="BS82">
        <v>0</v>
      </c>
      <c r="BW82" t="s">
        <v>167</v>
      </c>
      <c r="BX82" t="s">
        <v>168</v>
      </c>
      <c r="BZ82" t="s">
        <v>978</v>
      </c>
    </row>
    <row r="83" spans="1:78">
      <c r="A83" t="s">
        <v>257</v>
      </c>
      <c r="B83" t="s">
        <v>890</v>
      </c>
      <c r="C83" t="s">
        <v>54</v>
      </c>
      <c r="D83" t="s">
        <v>1</v>
      </c>
      <c r="E83" t="s">
        <v>115</v>
      </c>
      <c r="F83" t="s">
        <v>99</v>
      </c>
      <c r="G83" t="s">
        <v>100</v>
      </c>
      <c r="H83" t="s">
        <v>128</v>
      </c>
      <c r="I83" t="s">
        <v>100</v>
      </c>
      <c r="J83" t="s">
        <v>101</v>
      </c>
      <c r="K83" t="s">
        <v>559</v>
      </c>
      <c r="L83" t="s">
        <v>559</v>
      </c>
      <c r="M83" t="s">
        <v>100</v>
      </c>
      <c r="N83" t="s">
        <v>465</v>
      </c>
      <c r="O83" t="s">
        <v>100</v>
      </c>
      <c r="Q83" t="s">
        <v>465</v>
      </c>
      <c r="R83" t="s">
        <v>119</v>
      </c>
      <c r="S83" t="s">
        <v>130</v>
      </c>
      <c r="T83" t="s">
        <v>120</v>
      </c>
      <c r="U83" t="s">
        <v>101</v>
      </c>
      <c r="V83" t="s">
        <v>121</v>
      </c>
      <c r="W83" t="s">
        <v>122</v>
      </c>
      <c r="X83" t="s">
        <v>123</v>
      </c>
      <c r="Y83">
        <v>1</v>
      </c>
      <c r="Z83" t="s">
        <v>566</v>
      </c>
      <c r="AA83" s="280">
        <v>38611</v>
      </c>
      <c r="AB83" t="s">
        <v>114</v>
      </c>
      <c r="AC83" t="s">
        <v>124</v>
      </c>
      <c r="AD83" s="280">
        <v>44651</v>
      </c>
      <c r="AE83" t="s">
        <v>125</v>
      </c>
      <c r="AF83">
        <v>6</v>
      </c>
      <c r="AG83">
        <v>0</v>
      </c>
      <c r="AH83">
        <v>0</v>
      </c>
      <c r="AI83" t="s">
        <v>126</v>
      </c>
      <c r="AL83">
        <v>1</v>
      </c>
      <c r="AN83">
        <v>1</v>
      </c>
      <c r="AO83">
        <v>0</v>
      </c>
      <c r="AP83" t="s">
        <v>1050</v>
      </c>
      <c r="AR83" t="s">
        <v>127</v>
      </c>
      <c r="AS83">
        <v>2052</v>
      </c>
      <c r="AU83">
        <v>0</v>
      </c>
      <c r="AV83">
        <v>0</v>
      </c>
      <c r="AW83">
        <v>0</v>
      </c>
      <c r="AX83">
        <v>2052</v>
      </c>
      <c r="AY83">
        <v>114</v>
      </c>
      <c r="AZ83">
        <v>0</v>
      </c>
      <c r="BC83">
        <v>-1938</v>
      </c>
      <c r="BE83" t="s">
        <v>114</v>
      </c>
      <c r="BH83">
        <v>-114</v>
      </c>
      <c r="BI83">
        <v>-9.5</v>
      </c>
      <c r="BK83" t="s">
        <v>116</v>
      </c>
      <c r="BL83">
        <v>0</v>
      </c>
      <c r="BM83">
        <v>-2052</v>
      </c>
      <c r="BR83">
        <v>0</v>
      </c>
      <c r="BS83">
        <v>0</v>
      </c>
      <c r="BW83" t="s">
        <v>167</v>
      </c>
      <c r="BX83" t="s">
        <v>168</v>
      </c>
      <c r="BZ83" t="s">
        <v>940</v>
      </c>
    </row>
    <row r="84" spans="1:78">
      <c r="A84" t="s">
        <v>258</v>
      </c>
      <c r="B84" t="s">
        <v>891</v>
      </c>
      <c r="C84" t="s">
        <v>54</v>
      </c>
      <c r="D84" t="s">
        <v>1</v>
      </c>
      <c r="E84" t="s">
        <v>115</v>
      </c>
      <c r="F84" t="s">
        <v>99</v>
      </c>
      <c r="G84" t="s">
        <v>100</v>
      </c>
      <c r="H84" t="s">
        <v>128</v>
      </c>
      <c r="I84" t="s">
        <v>100</v>
      </c>
      <c r="J84" t="s">
        <v>101</v>
      </c>
      <c r="K84" t="s">
        <v>559</v>
      </c>
      <c r="L84" t="s">
        <v>559</v>
      </c>
      <c r="M84" t="s">
        <v>100</v>
      </c>
      <c r="N84" t="s">
        <v>465</v>
      </c>
      <c r="O84" t="s">
        <v>100</v>
      </c>
      <c r="Q84" t="s">
        <v>465</v>
      </c>
      <c r="R84" t="s">
        <v>119</v>
      </c>
      <c r="S84" t="s">
        <v>130</v>
      </c>
      <c r="T84" t="s">
        <v>120</v>
      </c>
      <c r="U84" t="s">
        <v>101</v>
      </c>
      <c r="V84" t="s">
        <v>121</v>
      </c>
      <c r="W84" t="s">
        <v>122</v>
      </c>
      <c r="X84" t="s">
        <v>123</v>
      </c>
      <c r="Y84">
        <v>1</v>
      </c>
      <c r="Z84" t="s">
        <v>566</v>
      </c>
      <c r="AA84" s="280">
        <v>38611</v>
      </c>
      <c r="AB84" t="s">
        <v>114</v>
      </c>
      <c r="AC84" t="s">
        <v>124</v>
      </c>
      <c r="AD84" s="280">
        <v>44651</v>
      </c>
      <c r="AE84" t="s">
        <v>125</v>
      </c>
      <c r="AF84">
        <v>6</v>
      </c>
      <c r="AG84">
        <v>0</v>
      </c>
      <c r="AH84">
        <v>0</v>
      </c>
      <c r="AI84" t="s">
        <v>126</v>
      </c>
      <c r="AL84">
        <v>1</v>
      </c>
      <c r="AN84">
        <v>1</v>
      </c>
      <c r="AO84">
        <v>0</v>
      </c>
      <c r="AP84" t="s">
        <v>1050</v>
      </c>
      <c r="AR84" t="s">
        <v>127</v>
      </c>
      <c r="AS84">
        <v>2052</v>
      </c>
      <c r="AU84">
        <v>0</v>
      </c>
      <c r="AV84">
        <v>0</v>
      </c>
      <c r="AW84">
        <v>0</v>
      </c>
      <c r="AX84">
        <v>2052</v>
      </c>
      <c r="AY84">
        <v>114</v>
      </c>
      <c r="AZ84">
        <v>0</v>
      </c>
      <c r="BC84">
        <v>-1938</v>
      </c>
      <c r="BE84" t="s">
        <v>114</v>
      </c>
      <c r="BH84">
        <v>-114</v>
      </c>
      <c r="BI84">
        <v>-9.5</v>
      </c>
      <c r="BK84" t="s">
        <v>116</v>
      </c>
      <c r="BL84">
        <v>0</v>
      </c>
      <c r="BM84">
        <v>-2052</v>
      </c>
      <c r="BR84">
        <v>0</v>
      </c>
      <c r="BS84">
        <v>0</v>
      </c>
      <c r="BW84" t="s">
        <v>167</v>
      </c>
      <c r="BX84" t="s">
        <v>168</v>
      </c>
      <c r="BZ84" t="s">
        <v>979</v>
      </c>
    </row>
    <row r="85" spans="1:78">
      <c r="A85" t="s">
        <v>259</v>
      </c>
      <c r="B85" t="s">
        <v>892</v>
      </c>
      <c r="C85" t="s">
        <v>54</v>
      </c>
      <c r="D85" t="s">
        <v>1</v>
      </c>
      <c r="E85" t="s">
        <v>115</v>
      </c>
      <c r="F85" t="s">
        <v>99</v>
      </c>
      <c r="G85" t="s">
        <v>100</v>
      </c>
      <c r="H85" t="s">
        <v>128</v>
      </c>
      <c r="I85" t="s">
        <v>100</v>
      </c>
      <c r="J85" t="s">
        <v>101</v>
      </c>
      <c r="K85" t="s">
        <v>559</v>
      </c>
      <c r="L85" t="s">
        <v>559</v>
      </c>
      <c r="M85" t="s">
        <v>100</v>
      </c>
      <c r="N85" t="s">
        <v>465</v>
      </c>
      <c r="O85" t="s">
        <v>100</v>
      </c>
      <c r="Q85" t="s">
        <v>465</v>
      </c>
      <c r="R85" t="s">
        <v>119</v>
      </c>
      <c r="S85" t="s">
        <v>130</v>
      </c>
      <c r="T85" t="s">
        <v>120</v>
      </c>
      <c r="U85" t="s">
        <v>101</v>
      </c>
      <c r="V85" t="s">
        <v>121</v>
      </c>
      <c r="W85" t="s">
        <v>122</v>
      </c>
      <c r="X85" t="s">
        <v>123</v>
      </c>
      <c r="Y85">
        <v>1</v>
      </c>
      <c r="Z85" t="s">
        <v>566</v>
      </c>
      <c r="AA85" s="280">
        <v>38611</v>
      </c>
      <c r="AB85" t="s">
        <v>114</v>
      </c>
      <c r="AC85" t="s">
        <v>124</v>
      </c>
      <c r="AD85" s="280">
        <v>44651</v>
      </c>
      <c r="AE85" t="s">
        <v>125</v>
      </c>
      <c r="AF85">
        <v>6</v>
      </c>
      <c r="AG85">
        <v>0</v>
      </c>
      <c r="AH85">
        <v>0</v>
      </c>
      <c r="AI85" t="s">
        <v>126</v>
      </c>
      <c r="AL85">
        <v>1</v>
      </c>
      <c r="AN85">
        <v>1</v>
      </c>
      <c r="AO85">
        <v>0</v>
      </c>
      <c r="AP85" t="s">
        <v>1050</v>
      </c>
      <c r="AR85" t="s">
        <v>127</v>
      </c>
      <c r="AS85">
        <v>2052</v>
      </c>
      <c r="AU85">
        <v>0</v>
      </c>
      <c r="AV85">
        <v>0</v>
      </c>
      <c r="AW85">
        <v>0</v>
      </c>
      <c r="AX85">
        <v>2052</v>
      </c>
      <c r="AY85">
        <v>114</v>
      </c>
      <c r="AZ85">
        <v>0</v>
      </c>
      <c r="BC85">
        <v>-1938</v>
      </c>
      <c r="BE85" t="s">
        <v>114</v>
      </c>
      <c r="BH85">
        <v>-114</v>
      </c>
      <c r="BI85">
        <v>-9.5</v>
      </c>
      <c r="BK85" t="s">
        <v>116</v>
      </c>
      <c r="BL85">
        <v>0</v>
      </c>
      <c r="BM85">
        <v>-2052</v>
      </c>
      <c r="BR85">
        <v>0</v>
      </c>
      <c r="BS85">
        <v>0</v>
      </c>
      <c r="BW85" t="s">
        <v>167</v>
      </c>
      <c r="BX85" t="s">
        <v>168</v>
      </c>
      <c r="BZ85" t="s">
        <v>980</v>
      </c>
    </row>
    <row r="86" spans="1:78">
      <c r="A86" t="s">
        <v>260</v>
      </c>
      <c r="B86" t="s">
        <v>888</v>
      </c>
      <c r="C86" t="s">
        <v>54</v>
      </c>
      <c r="D86" t="s">
        <v>1</v>
      </c>
      <c r="E86" t="s">
        <v>115</v>
      </c>
      <c r="F86" t="s">
        <v>99</v>
      </c>
      <c r="G86" t="s">
        <v>100</v>
      </c>
      <c r="H86" t="s">
        <v>128</v>
      </c>
      <c r="I86" t="s">
        <v>100</v>
      </c>
      <c r="J86" t="s">
        <v>101</v>
      </c>
      <c r="K86" t="s">
        <v>559</v>
      </c>
      <c r="L86" t="s">
        <v>559</v>
      </c>
      <c r="M86" t="s">
        <v>100</v>
      </c>
      <c r="N86" t="s">
        <v>465</v>
      </c>
      <c r="O86" t="s">
        <v>100</v>
      </c>
      <c r="Q86" t="s">
        <v>465</v>
      </c>
      <c r="R86" t="s">
        <v>119</v>
      </c>
      <c r="S86" t="s">
        <v>130</v>
      </c>
      <c r="T86" t="s">
        <v>120</v>
      </c>
      <c r="U86" t="s">
        <v>101</v>
      </c>
      <c r="V86" t="s">
        <v>121</v>
      </c>
      <c r="W86" t="s">
        <v>122</v>
      </c>
      <c r="X86" t="s">
        <v>123</v>
      </c>
      <c r="Y86">
        <v>1</v>
      </c>
      <c r="Z86" t="s">
        <v>566</v>
      </c>
      <c r="AA86" s="280">
        <v>38611</v>
      </c>
      <c r="AB86" t="s">
        <v>114</v>
      </c>
      <c r="AC86" t="s">
        <v>124</v>
      </c>
      <c r="AD86" s="280">
        <v>44651</v>
      </c>
      <c r="AE86" t="s">
        <v>125</v>
      </c>
      <c r="AF86">
        <v>6</v>
      </c>
      <c r="AG86">
        <v>0</v>
      </c>
      <c r="AH86">
        <v>0</v>
      </c>
      <c r="AI86" t="s">
        <v>126</v>
      </c>
      <c r="AL86">
        <v>1</v>
      </c>
      <c r="AN86">
        <v>1</v>
      </c>
      <c r="AO86">
        <v>0</v>
      </c>
      <c r="AP86" t="s">
        <v>1050</v>
      </c>
      <c r="AR86" t="s">
        <v>127</v>
      </c>
      <c r="AS86">
        <v>2052</v>
      </c>
      <c r="AU86">
        <v>0</v>
      </c>
      <c r="AV86">
        <v>0</v>
      </c>
      <c r="AW86">
        <v>0</v>
      </c>
      <c r="AX86">
        <v>2052</v>
      </c>
      <c r="AY86">
        <v>114</v>
      </c>
      <c r="AZ86">
        <v>0</v>
      </c>
      <c r="BC86">
        <v>-1938</v>
      </c>
      <c r="BE86" t="s">
        <v>114</v>
      </c>
      <c r="BH86">
        <v>-114</v>
      </c>
      <c r="BI86">
        <v>-9.5</v>
      </c>
      <c r="BK86" t="s">
        <v>116</v>
      </c>
      <c r="BL86">
        <v>0</v>
      </c>
      <c r="BM86">
        <v>-2052</v>
      </c>
      <c r="BR86">
        <v>0</v>
      </c>
      <c r="BS86">
        <v>0</v>
      </c>
      <c r="BW86" t="s">
        <v>167</v>
      </c>
      <c r="BX86" t="s">
        <v>168</v>
      </c>
      <c r="BZ86" t="s">
        <v>977</v>
      </c>
    </row>
    <row r="87" spans="1:78">
      <c r="A87" t="s">
        <v>261</v>
      </c>
      <c r="B87" t="s">
        <v>893</v>
      </c>
      <c r="C87" t="s">
        <v>54</v>
      </c>
      <c r="D87" t="s">
        <v>1</v>
      </c>
      <c r="E87" t="s">
        <v>115</v>
      </c>
      <c r="F87" t="s">
        <v>99</v>
      </c>
      <c r="G87" t="s">
        <v>100</v>
      </c>
      <c r="H87" t="s">
        <v>128</v>
      </c>
      <c r="I87" t="s">
        <v>100</v>
      </c>
      <c r="J87" t="s">
        <v>101</v>
      </c>
      <c r="K87" t="s">
        <v>559</v>
      </c>
      <c r="L87" t="s">
        <v>559</v>
      </c>
      <c r="M87" t="s">
        <v>100</v>
      </c>
      <c r="N87" t="s">
        <v>465</v>
      </c>
      <c r="O87" t="s">
        <v>100</v>
      </c>
      <c r="Q87" t="s">
        <v>465</v>
      </c>
      <c r="R87" t="s">
        <v>119</v>
      </c>
      <c r="S87" t="s">
        <v>130</v>
      </c>
      <c r="T87" t="s">
        <v>120</v>
      </c>
      <c r="U87" t="s">
        <v>101</v>
      </c>
      <c r="V87" t="s">
        <v>121</v>
      </c>
      <c r="W87" t="s">
        <v>122</v>
      </c>
      <c r="X87" t="s">
        <v>123</v>
      </c>
      <c r="Y87">
        <v>1</v>
      </c>
      <c r="Z87" t="s">
        <v>566</v>
      </c>
      <c r="AA87" s="280">
        <v>38611</v>
      </c>
      <c r="AB87" t="s">
        <v>114</v>
      </c>
      <c r="AC87" t="s">
        <v>124</v>
      </c>
      <c r="AD87" s="280">
        <v>44651</v>
      </c>
      <c r="AE87" t="s">
        <v>125</v>
      </c>
      <c r="AF87">
        <v>6</v>
      </c>
      <c r="AG87">
        <v>0</v>
      </c>
      <c r="AH87">
        <v>0</v>
      </c>
      <c r="AI87" t="s">
        <v>126</v>
      </c>
      <c r="AL87">
        <v>1</v>
      </c>
      <c r="AN87">
        <v>1</v>
      </c>
      <c r="AO87">
        <v>0</v>
      </c>
      <c r="AP87" t="s">
        <v>1050</v>
      </c>
      <c r="AR87" t="s">
        <v>127</v>
      </c>
      <c r="AS87">
        <v>2052</v>
      </c>
      <c r="AU87">
        <v>0</v>
      </c>
      <c r="AV87">
        <v>0</v>
      </c>
      <c r="AW87">
        <v>0</v>
      </c>
      <c r="AX87">
        <v>2052</v>
      </c>
      <c r="AY87">
        <v>114</v>
      </c>
      <c r="AZ87">
        <v>0</v>
      </c>
      <c r="BC87">
        <v>-1938</v>
      </c>
      <c r="BE87" t="s">
        <v>114</v>
      </c>
      <c r="BH87">
        <v>-114</v>
      </c>
      <c r="BI87">
        <v>-9.5</v>
      </c>
      <c r="BK87" t="s">
        <v>116</v>
      </c>
      <c r="BL87">
        <v>0</v>
      </c>
      <c r="BM87">
        <v>-2052</v>
      </c>
      <c r="BR87">
        <v>0</v>
      </c>
      <c r="BS87">
        <v>0</v>
      </c>
      <c r="BW87" t="s">
        <v>167</v>
      </c>
      <c r="BX87" t="s">
        <v>168</v>
      </c>
      <c r="BZ87" t="s">
        <v>979</v>
      </c>
    </row>
    <row r="88" spans="1:78">
      <c r="A88" t="s">
        <v>262</v>
      </c>
      <c r="B88" t="s">
        <v>863</v>
      </c>
      <c r="C88" t="s">
        <v>54</v>
      </c>
      <c r="D88" t="s">
        <v>1</v>
      </c>
      <c r="E88" t="s">
        <v>115</v>
      </c>
      <c r="F88" t="s">
        <v>99</v>
      </c>
      <c r="G88" t="s">
        <v>100</v>
      </c>
      <c r="H88" t="s">
        <v>128</v>
      </c>
      <c r="I88" t="s">
        <v>100</v>
      </c>
      <c r="J88" t="s">
        <v>101</v>
      </c>
      <c r="K88" t="s">
        <v>559</v>
      </c>
      <c r="L88" t="s">
        <v>559</v>
      </c>
      <c r="M88" t="s">
        <v>100</v>
      </c>
      <c r="N88" t="s">
        <v>466</v>
      </c>
      <c r="O88" t="s">
        <v>100</v>
      </c>
      <c r="Q88" t="s">
        <v>466</v>
      </c>
      <c r="R88" t="s">
        <v>119</v>
      </c>
      <c r="S88" t="s">
        <v>130</v>
      </c>
      <c r="T88" t="s">
        <v>120</v>
      </c>
      <c r="U88" t="s">
        <v>101</v>
      </c>
      <c r="V88" t="s">
        <v>121</v>
      </c>
      <c r="W88" t="s">
        <v>122</v>
      </c>
      <c r="X88" t="s">
        <v>123</v>
      </c>
      <c r="Y88">
        <v>1</v>
      </c>
      <c r="Z88" t="s">
        <v>568</v>
      </c>
      <c r="AA88" s="280">
        <v>38623</v>
      </c>
      <c r="AB88" t="s">
        <v>114</v>
      </c>
      <c r="AC88" t="s">
        <v>124</v>
      </c>
      <c r="AD88" s="280">
        <v>44651</v>
      </c>
      <c r="AE88" t="s">
        <v>125</v>
      </c>
      <c r="AF88">
        <v>6</v>
      </c>
      <c r="AG88">
        <v>0</v>
      </c>
      <c r="AH88">
        <v>0</v>
      </c>
      <c r="AI88" t="s">
        <v>126</v>
      </c>
      <c r="AL88">
        <v>1</v>
      </c>
      <c r="AN88">
        <v>1</v>
      </c>
      <c r="AO88">
        <v>0</v>
      </c>
      <c r="AP88" t="s">
        <v>1051</v>
      </c>
      <c r="AR88" t="s">
        <v>127</v>
      </c>
      <c r="AS88">
        <v>7410</v>
      </c>
      <c r="AU88">
        <v>0</v>
      </c>
      <c r="AV88">
        <v>0</v>
      </c>
      <c r="AW88">
        <v>0</v>
      </c>
      <c r="AX88">
        <v>7410</v>
      </c>
      <c r="AY88">
        <v>411.66666666666606</v>
      </c>
      <c r="AZ88">
        <v>0</v>
      </c>
      <c r="BC88">
        <v>-6998.3333333333339</v>
      </c>
      <c r="BE88" t="s">
        <v>114</v>
      </c>
      <c r="BH88">
        <v>-411.66666666666606</v>
      </c>
      <c r="BI88">
        <v>-34.305555555555507</v>
      </c>
      <c r="BK88" t="s">
        <v>116</v>
      </c>
      <c r="BL88">
        <v>0</v>
      </c>
      <c r="BM88">
        <v>-7410</v>
      </c>
      <c r="BR88">
        <v>0</v>
      </c>
      <c r="BS88">
        <v>0</v>
      </c>
      <c r="BW88" t="s">
        <v>167</v>
      </c>
      <c r="BX88" t="s">
        <v>168</v>
      </c>
      <c r="BZ88" t="s">
        <v>947</v>
      </c>
    </row>
    <row r="89" spans="1:78">
      <c r="A89" t="s">
        <v>263</v>
      </c>
      <c r="B89" t="s">
        <v>853</v>
      </c>
      <c r="C89" t="s">
        <v>54</v>
      </c>
      <c r="D89" t="s">
        <v>1</v>
      </c>
      <c r="E89" t="s">
        <v>115</v>
      </c>
      <c r="F89" t="s">
        <v>99</v>
      </c>
      <c r="G89" t="s">
        <v>100</v>
      </c>
      <c r="H89" t="s">
        <v>128</v>
      </c>
      <c r="I89" t="s">
        <v>100</v>
      </c>
      <c r="J89" t="s">
        <v>101</v>
      </c>
      <c r="K89" t="s">
        <v>559</v>
      </c>
      <c r="L89" t="s">
        <v>559</v>
      </c>
      <c r="M89" t="s">
        <v>100</v>
      </c>
      <c r="N89" t="s">
        <v>467</v>
      </c>
      <c r="O89" t="s">
        <v>100</v>
      </c>
      <c r="Q89" t="s">
        <v>467</v>
      </c>
      <c r="R89" t="s">
        <v>119</v>
      </c>
      <c r="S89" t="s">
        <v>130</v>
      </c>
      <c r="T89" t="s">
        <v>120</v>
      </c>
      <c r="U89" t="s">
        <v>101</v>
      </c>
      <c r="V89" t="s">
        <v>121</v>
      </c>
      <c r="W89" t="s">
        <v>122</v>
      </c>
      <c r="X89" t="s">
        <v>123</v>
      </c>
      <c r="Y89">
        <v>1</v>
      </c>
      <c r="Z89" t="s">
        <v>569</v>
      </c>
      <c r="AA89" s="280">
        <v>38077</v>
      </c>
      <c r="AB89" t="s">
        <v>114</v>
      </c>
      <c r="AC89" t="s">
        <v>124</v>
      </c>
      <c r="AD89" s="280">
        <v>44651</v>
      </c>
      <c r="AE89" t="s">
        <v>125</v>
      </c>
      <c r="AF89">
        <v>6</v>
      </c>
      <c r="AG89">
        <v>0</v>
      </c>
      <c r="AH89">
        <v>0</v>
      </c>
      <c r="AI89" t="s">
        <v>126</v>
      </c>
      <c r="AL89">
        <v>1</v>
      </c>
      <c r="AN89">
        <v>1</v>
      </c>
      <c r="AO89">
        <v>0</v>
      </c>
      <c r="AP89" t="s">
        <v>1050</v>
      </c>
      <c r="AR89" t="s">
        <v>127</v>
      </c>
      <c r="AS89">
        <v>2100</v>
      </c>
      <c r="AU89">
        <v>0</v>
      </c>
      <c r="AV89">
        <v>0</v>
      </c>
      <c r="AW89">
        <v>0</v>
      </c>
      <c r="AX89">
        <v>2100</v>
      </c>
      <c r="AY89">
        <v>116.66666666666652</v>
      </c>
      <c r="AZ89">
        <v>0</v>
      </c>
      <c r="BC89">
        <v>-1983.3333333333335</v>
      </c>
      <c r="BE89" t="s">
        <v>114</v>
      </c>
      <c r="BH89">
        <v>-116.66666666666652</v>
      </c>
      <c r="BI89">
        <v>-9.722222222222209</v>
      </c>
      <c r="BK89" t="s">
        <v>116</v>
      </c>
      <c r="BL89">
        <v>0</v>
      </c>
      <c r="BM89">
        <v>-2100</v>
      </c>
      <c r="BR89">
        <v>0</v>
      </c>
      <c r="BS89">
        <v>0</v>
      </c>
      <c r="BW89" t="s">
        <v>167</v>
      </c>
      <c r="BX89" t="s">
        <v>168</v>
      </c>
      <c r="BZ89" t="s">
        <v>939</v>
      </c>
    </row>
    <row r="90" spans="1:78">
      <c r="A90" t="s">
        <v>264</v>
      </c>
      <c r="B90" t="s">
        <v>894</v>
      </c>
      <c r="C90" t="s">
        <v>54</v>
      </c>
      <c r="D90" t="s">
        <v>1</v>
      </c>
      <c r="E90" t="s">
        <v>115</v>
      </c>
      <c r="F90" t="s">
        <v>99</v>
      </c>
      <c r="G90" t="s">
        <v>100</v>
      </c>
      <c r="H90" t="s">
        <v>128</v>
      </c>
      <c r="I90" t="s">
        <v>100</v>
      </c>
      <c r="J90" t="s">
        <v>101</v>
      </c>
      <c r="K90" t="s">
        <v>559</v>
      </c>
      <c r="L90" t="s">
        <v>559</v>
      </c>
      <c r="M90" t="s">
        <v>100</v>
      </c>
      <c r="N90" t="s">
        <v>468</v>
      </c>
      <c r="O90" t="s">
        <v>100</v>
      </c>
      <c r="Q90" t="s">
        <v>468</v>
      </c>
      <c r="R90" t="s">
        <v>119</v>
      </c>
      <c r="S90" t="s">
        <v>130</v>
      </c>
      <c r="T90" t="s">
        <v>120</v>
      </c>
      <c r="U90" t="s">
        <v>101</v>
      </c>
      <c r="V90" t="s">
        <v>121</v>
      </c>
      <c r="W90" t="s">
        <v>122</v>
      </c>
      <c r="X90" t="s">
        <v>123</v>
      </c>
      <c r="Y90">
        <v>1</v>
      </c>
      <c r="Z90" t="s">
        <v>570</v>
      </c>
      <c r="AA90" s="280">
        <v>39171</v>
      </c>
      <c r="AB90" t="s">
        <v>114</v>
      </c>
      <c r="AC90" t="s">
        <v>124</v>
      </c>
      <c r="AD90" s="280">
        <v>44651</v>
      </c>
      <c r="AE90" t="s">
        <v>125</v>
      </c>
      <c r="AF90">
        <v>6</v>
      </c>
      <c r="AG90">
        <v>0</v>
      </c>
      <c r="AH90">
        <v>0</v>
      </c>
      <c r="AI90" t="s">
        <v>126</v>
      </c>
      <c r="AL90">
        <v>1</v>
      </c>
      <c r="AN90">
        <v>1</v>
      </c>
      <c r="AO90">
        <v>0</v>
      </c>
      <c r="AP90" t="s">
        <v>1050</v>
      </c>
      <c r="AR90" t="s">
        <v>127</v>
      </c>
      <c r="AS90">
        <v>3534</v>
      </c>
      <c r="AU90">
        <v>0</v>
      </c>
      <c r="AV90">
        <v>0</v>
      </c>
      <c r="AW90">
        <v>0</v>
      </c>
      <c r="AX90">
        <v>3534</v>
      </c>
      <c r="AY90">
        <v>196.33333333333303</v>
      </c>
      <c r="AZ90">
        <v>0</v>
      </c>
      <c r="BC90">
        <v>-3337.666666666667</v>
      </c>
      <c r="BE90" t="s">
        <v>114</v>
      </c>
      <c r="BH90">
        <v>-196.33333333333303</v>
      </c>
      <c r="BI90">
        <v>-16.361111111111086</v>
      </c>
      <c r="BK90" t="s">
        <v>116</v>
      </c>
      <c r="BL90">
        <v>0</v>
      </c>
      <c r="BM90">
        <v>-3534</v>
      </c>
      <c r="BR90">
        <v>0</v>
      </c>
      <c r="BS90">
        <v>0</v>
      </c>
      <c r="BW90" t="s">
        <v>167</v>
      </c>
      <c r="BX90" t="s">
        <v>168</v>
      </c>
      <c r="BZ90" t="s">
        <v>981</v>
      </c>
    </row>
    <row r="91" spans="1:78">
      <c r="A91" t="s">
        <v>265</v>
      </c>
      <c r="B91" t="s">
        <v>895</v>
      </c>
      <c r="C91" t="s">
        <v>54</v>
      </c>
      <c r="D91" t="s">
        <v>1</v>
      </c>
      <c r="E91" t="s">
        <v>115</v>
      </c>
      <c r="F91" t="s">
        <v>99</v>
      </c>
      <c r="G91" t="s">
        <v>100</v>
      </c>
      <c r="H91" t="s">
        <v>128</v>
      </c>
      <c r="I91" t="s">
        <v>100</v>
      </c>
      <c r="J91" t="s">
        <v>101</v>
      </c>
      <c r="K91" t="s">
        <v>559</v>
      </c>
      <c r="L91" t="s">
        <v>559</v>
      </c>
      <c r="M91" t="s">
        <v>100</v>
      </c>
      <c r="N91" t="s">
        <v>469</v>
      </c>
      <c r="O91" t="s">
        <v>100</v>
      </c>
      <c r="Q91" t="s">
        <v>469</v>
      </c>
      <c r="R91" t="s">
        <v>119</v>
      </c>
      <c r="S91" t="s">
        <v>130</v>
      </c>
      <c r="T91" t="s">
        <v>120</v>
      </c>
      <c r="U91" t="s">
        <v>101</v>
      </c>
      <c r="V91" t="s">
        <v>121</v>
      </c>
      <c r="W91" t="s">
        <v>122</v>
      </c>
      <c r="X91" t="s">
        <v>123</v>
      </c>
      <c r="Y91">
        <v>1</v>
      </c>
      <c r="Z91" t="s">
        <v>570</v>
      </c>
      <c r="AA91" s="280">
        <v>39171</v>
      </c>
      <c r="AB91" t="s">
        <v>114</v>
      </c>
      <c r="AC91" t="s">
        <v>124</v>
      </c>
      <c r="AD91" s="280">
        <v>44651</v>
      </c>
      <c r="AE91" t="s">
        <v>125</v>
      </c>
      <c r="AF91">
        <v>6</v>
      </c>
      <c r="AG91">
        <v>0</v>
      </c>
      <c r="AH91">
        <v>0</v>
      </c>
      <c r="AI91" t="s">
        <v>126</v>
      </c>
      <c r="AL91">
        <v>1</v>
      </c>
      <c r="AN91">
        <v>1</v>
      </c>
      <c r="AO91">
        <v>0</v>
      </c>
      <c r="AP91" t="s">
        <v>1050</v>
      </c>
      <c r="AR91" t="s">
        <v>127</v>
      </c>
      <c r="AS91">
        <v>9690</v>
      </c>
      <c r="AU91">
        <v>0</v>
      </c>
      <c r="AV91">
        <v>0</v>
      </c>
      <c r="AW91">
        <v>0</v>
      </c>
      <c r="AX91">
        <v>9690</v>
      </c>
      <c r="AY91">
        <v>538.33333333333212</v>
      </c>
      <c r="AZ91">
        <v>0</v>
      </c>
      <c r="BC91">
        <v>-9151.6666666666679</v>
      </c>
      <c r="BE91" t="s">
        <v>114</v>
      </c>
      <c r="BH91">
        <v>-538.33333333333212</v>
      </c>
      <c r="BI91">
        <v>-44.861111111111008</v>
      </c>
      <c r="BK91" t="s">
        <v>116</v>
      </c>
      <c r="BL91">
        <v>0</v>
      </c>
      <c r="BM91">
        <v>-9690</v>
      </c>
      <c r="BR91">
        <v>0</v>
      </c>
      <c r="BS91">
        <v>0</v>
      </c>
      <c r="BW91" t="s">
        <v>167</v>
      </c>
      <c r="BX91" t="s">
        <v>168</v>
      </c>
      <c r="BZ91" t="s">
        <v>968</v>
      </c>
    </row>
    <row r="92" spans="1:78">
      <c r="A92" t="s">
        <v>266</v>
      </c>
      <c r="B92">
        <v>0</v>
      </c>
      <c r="C92" t="s">
        <v>54</v>
      </c>
      <c r="D92" t="s">
        <v>1</v>
      </c>
      <c r="E92" t="s">
        <v>115</v>
      </c>
      <c r="F92" t="s">
        <v>99</v>
      </c>
      <c r="G92" t="s">
        <v>100</v>
      </c>
      <c r="H92" t="s">
        <v>128</v>
      </c>
      <c r="I92" t="s">
        <v>100</v>
      </c>
      <c r="J92" t="s">
        <v>101</v>
      </c>
      <c r="K92" t="s">
        <v>559</v>
      </c>
      <c r="L92" t="s">
        <v>559</v>
      </c>
      <c r="M92" t="s">
        <v>100</v>
      </c>
      <c r="N92" t="s">
        <v>470</v>
      </c>
      <c r="O92" t="s">
        <v>100</v>
      </c>
      <c r="Q92" t="s">
        <v>470</v>
      </c>
      <c r="R92" t="s">
        <v>119</v>
      </c>
      <c r="S92" t="s">
        <v>130</v>
      </c>
      <c r="T92" t="s">
        <v>120</v>
      </c>
      <c r="U92" t="s">
        <v>101</v>
      </c>
      <c r="V92" t="s">
        <v>121</v>
      </c>
      <c r="W92" t="s">
        <v>122</v>
      </c>
      <c r="X92" t="s">
        <v>123</v>
      </c>
      <c r="Y92">
        <v>1</v>
      </c>
      <c r="Z92" t="s">
        <v>570</v>
      </c>
      <c r="AA92" s="280">
        <v>39171</v>
      </c>
      <c r="AB92" t="s">
        <v>114</v>
      </c>
      <c r="AC92" t="s">
        <v>124</v>
      </c>
      <c r="AD92" s="280">
        <v>44651</v>
      </c>
      <c r="AE92" t="s">
        <v>125</v>
      </c>
      <c r="AF92">
        <v>6</v>
      </c>
      <c r="AG92">
        <v>0</v>
      </c>
      <c r="AH92">
        <v>0</v>
      </c>
      <c r="AI92" t="s">
        <v>126</v>
      </c>
      <c r="AL92">
        <v>1</v>
      </c>
      <c r="AN92">
        <v>1</v>
      </c>
      <c r="AO92">
        <v>0</v>
      </c>
      <c r="AP92">
        <v>0</v>
      </c>
      <c r="AR92" t="s">
        <v>127</v>
      </c>
      <c r="AS92">
        <v>3306</v>
      </c>
      <c r="AU92">
        <v>0</v>
      </c>
      <c r="AV92">
        <v>0</v>
      </c>
      <c r="AW92">
        <v>0</v>
      </c>
      <c r="AX92">
        <v>3306</v>
      </c>
      <c r="AY92">
        <v>183.66666666666697</v>
      </c>
      <c r="AZ92">
        <v>0</v>
      </c>
      <c r="BC92">
        <v>-3122.333333333333</v>
      </c>
      <c r="BE92" t="s">
        <v>114</v>
      </c>
      <c r="BH92">
        <v>-183.66666666666697</v>
      </c>
      <c r="BI92">
        <v>-15.30555555555558</v>
      </c>
      <c r="BK92" t="s">
        <v>116</v>
      </c>
      <c r="BL92">
        <v>0</v>
      </c>
      <c r="BM92">
        <v>-3306</v>
      </c>
      <c r="BR92">
        <v>0</v>
      </c>
      <c r="BS92">
        <v>0</v>
      </c>
      <c r="BW92" t="s">
        <v>167</v>
      </c>
      <c r="BX92" t="s">
        <v>168</v>
      </c>
      <c r="BZ92">
        <v>0</v>
      </c>
    </row>
    <row r="93" spans="1:78">
      <c r="A93" t="s">
        <v>267</v>
      </c>
      <c r="B93" t="s">
        <v>872</v>
      </c>
      <c r="C93" t="s">
        <v>54</v>
      </c>
      <c r="D93" t="s">
        <v>1</v>
      </c>
      <c r="E93" t="s">
        <v>115</v>
      </c>
      <c r="F93" t="s">
        <v>99</v>
      </c>
      <c r="G93" t="s">
        <v>100</v>
      </c>
      <c r="H93" t="s">
        <v>128</v>
      </c>
      <c r="I93" t="s">
        <v>100</v>
      </c>
      <c r="J93" t="s">
        <v>101</v>
      </c>
      <c r="K93" t="s">
        <v>559</v>
      </c>
      <c r="L93" t="s">
        <v>559</v>
      </c>
      <c r="M93" t="s">
        <v>100</v>
      </c>
      <c r="N93" t="s">
        <v>432</v>
      </c>
      <c r="O93" t="s">
        <v>100</v>
      </c>
      <c r="Q93" t="s">
        <v>432</v>
      </c>
      <c r="R93" t="s">
        <v>119</v>
      </c>
      <c r="S93" t="s">
        <v>130</v>
      </c>
      <c r="T93" t="s">
        <v>120</v>
      </c>
      <c r="U93" t="s">
        <v>101</v>
      </c>
      <c r="V93" t="s">
        <v>121</v>
      </c>
      <c r="W93" t="s">
        <v>122</v>
      </c>
      <c r="X93" t="s">
        <v>123</v>
      </c>
      <c r="Y93">
        <v>1</v>
      </c>
      <c r="Z93" t="s">
        <v>570</v>
      </c>
      <c r="AA93" s="280">
        <v>39171</v>
      </c>
      <c r="AB93" t="s">
        <v>114</v>
      </c>
      <c r="AC93" t="s">
        <v>124</v>
      </c>
      <c r="AD93" s="280">
        <v>44651</v>
      </c>
      <c r="AE93" t="s">
        <v>125</v>
      </c>
      <c r="AF93">
        <v>6</v>
      </c>
      <c r="AG93">
        <v>0</v>
      </c>
      <c r="AH93">
        <v>0</v>
      </c>
      <c r="AI93" t="s">
        <v>126</v>
      </c>
      <c r="AL93">
        <v>1</v>
      </c>
      <c r="AN93">
        <v>1</v>
      </c>
      <c r="AO93">
        <v>0</v>
      </c>
      <c r="AP93" t="s">
        <v>1050</v>
      </c>
      <c r="AR93" t="s">
        <v>127</v>
      </c>
      <c r="AS93">
        <v>1824</v>
      </c>
      <c r="AU93">
        <v>0</v>
      </c>
      <c r="AV93">
        <v>0</v>
      </c>
      <c r="AW93">
        <v>0</v>
      </c>
      <c r="AX93">
        <v>1824</v>
      </c>
      <c r="AY93">
        <v>101.33333333333348</v>
      </c>
      <c r="AZ93">
        <v>0</v>
      </c>
      <c r="BC93">
        <v>-1722.6666666666665</v>
      </c>
      <c r="BE93" t="s">
        <v>114</v>
      </c>
      <c r="BH93">
        <v>-101.33333333333348</v>
      </c>
      <c r="BI93">
        <v>-8.4444444444444571</v>
      </c>
      <c r="BK93" t="s">
        <v>116</v>
      </c>
      <c r="BL93">
        <v>0</v>
      </c>
      <c r="BM93">
        <v>-1824</v>
      </c>
      <c r="BR93">
        <v>0</v>
      </c>
      <c r="BS93">
        <v>0</v>
      </c>
      <c r="BW93" t="s">
        <v>167</v>
      </c>
      <c r="BX93" t="s">
        <v>168</v>
      </c>
      <c r="BZ93" t="s">
        <v>956</v>
      </c>
    </row>
    <row r="94" spans="1:78">
      <c r="A94" t="s">
        <v>268</v>
      </c>
      <c r="B94" t="s">
        <v>864</v>
      </c>
      <c r="C94" t="s">
        <v>54</v>
      </c>
      <c r="D94" t="s">
        <v>1</v>
      </c>
      <c r="E94" t="s">
        <v>115</v>
      </c>
      <c r="F94" t="s">
        <v>99</v>
      </c>
      <c r="G94" t="s">
        <v>100</v>
      </c>
      <c r="H94" t="s">
        <v>128</v>
      </c>
      <c r="I94" t="s">
        <v>100</v>
      </c>
      <c r="J94" t="s">
        <v>101</v>
      </c>
      <c r="K94" t="s">
        <v>559</v>
      </c>
      <c r="L94" t="s">
        <v>559</v>
      </c>
      <c r="M94" t="s">
        <v>100</v>
      </c>
      <c r="N94" t="s">
        <v>471</v>
      </c>
      <c r="O94" t="s">
        <v>100</v>
      </c>
      <c r="Q94" t="s">
        <v>471</v>
      </c>
      <c r="R94" t="s">
        <v>119</v>
      </c>
      <c r="S94" t="s">
        <v>130</v>
      </c>
      <c r="T94" t="s">
        <v>120</v>
      </c>
      <c r="U94" t="s">
        <v>101</v>
      </c>
      <c r="V94" t="s">
        <v>121</v>
      </c>
      <c r="W94" t="s">
        <v>122</v>
      </c>
      <c r="X94" t="s">
        <v>123</v>
      </c>
      <c r="Y94">
        <v>1</v>
      </c>
      <c r="Z94" t="s">
        <v>571</v>
      </c>
      <c r="AA94" s="280">
        <v>39304</v>
      </c>
      <c r="AB94" t="s">
        <v>114</v>
      </c>
      <c r="AC94" t="s">
        <v>124</v>
      </c>
      <c r="AD94" s="280">
        <v>44651</v>
      </c>
      <c r="AE94" t="s">
        <v>125</v>
      </c>
      <c r="AF94">
        <v>6</v>
      </c>
      <c r="AG94">
        <v>0</v>
      </c>
      <c r="AH94">
        <v>0</v>
      </c>
      <c r="AI94" t="s">
        <v>126</v>
      </c>
      <c r="AL94">
        <v>1</v>
      </c>
      <c r="AN94">
        <v>1</v>
      </c>
      <c r="AO94">
        <v>0</v>
      </c>
      <c r="AP94" t="s">
        <v>1050</v>
      </c>
      <c r="AR94" t="s">
        <v>127</v>
      </c>
      <c r="AS94">
        <v>1020.34</v>
      </c>
      <c r="AU94">
        <v>0</v>
      </c>
      <c r="AV94">
        <v>0</v>
      </c>
      <c r="AW94">
        <v>0</v>
      </c>
      <c r="AX94">
        <v>1020.34</v>
      </c>
      <c r="AY94">
        <v>56.685555555555652</v>
      </c>
      <c r="AZ94">
        <v>0</v>
      </c>
      <c r="BC94">
        <v>-963.65444444444438</v>
      </c>
      <c r="BE94" t="s">
        <v>114</v>
      </c>
      <c r="BH94">
        <v>-56.685555555555652</v>
      </c>
      <c r="BI94">
        <v>-4.723796296296304</v>
      </c>
      <c r="BK94" t="s">
        <v>116</v>
      </c>
      <c r="BL94">
        <v>0</v>
      </c>
      <c r="BM94">
        <v>-1020.34</v>
      </c>
      <c r="BR94">
        <v>0</v>
      </c>
      <c r="BS94">
        <v>0</v>
      </c>
      <c r="BW94" t="s">
        <v>167</v>
      </c>
      <c r="BX94" t="s">
        <v>168</v>
      </c>
      <c r="BZ94" t="s">
        <v>948</v>
      </c>
    </row>
    <row r="95" spans="1:78">
      <c r="A95" t="s">
        <v>269</v>
      </c>
      <c r="B95" t="s">
        <v>896</v>
      </c>
      <c r="C95" t="s">
        <v>54</v>
      </c>
      <c r="D95" t="s">
        <v>1</v>
      </c>
      <c r="E95" t="s">
        <v>115</v>
      </c>
      <c r="F95" t="s">
        <v>99</v>
      </c>
      <c r="G95" t="s">
        <v>100</v>
      </c>
      <c r="H95" t="s">
        <v>128</v>
      </c>
      <c r="I95" t="s">
        <v>100</v>
      </c>
      <c r="J95" t="s">
        <v>101</v>
      </c>
      <c r="K95" t="s">
        <v>559</v>
      </c>
      <c r="L95" t="s">
        <v>559</v>
      </c>
      <c r="M95" t="s">
        <v>100</v>
      </c>
      <c r="N95" t="s">
        <v>471</v>
      </c>
      <c r="O95" t="s">
        <v>100</v>
      </c>
      <c r="Q95" t="s">
        <v>471</v>
      </c>
      <c r="R95" t="s">
        <v>119</v>
      </c>
      <c r="S95" t="s">
        <v>130</v>
      </c>
      <c r="T95" t="s">
        <v>120</v>
      </c>
      <c r="U95" t="s">
        <v>101</v>
      </c>
      <c r="V95" t="s">
        <v>121</v>
      </c>
      <c r="W95" t="s">
        <v>122</v>
      </c>
      <c r="X95" t="s">
        <v>123</v>
      </c>
      <c r="Y95">
        <v>1</v>
      </c>
      <c r="Z95" t="s">
        <v>571</v>
      </c>
      <c r="AA95" s="280">
        <v>39304</v>
      </c>
      <c r="AB95" t="s">
        <v>114</v>
      </c>
      <c r="AC95" t="s">
        <v>124</v>
      </c>
      <c r="AD95" s="280">
        <v>44651</v>
      </c>
      <c r="AE95" t="s">
        <v>125</v>
      </c>
      <c r="AF95">
        <v>6</v>
      </c>
      <c r="AG95">
        <v>0</v>
      </c>
      <c r="AH95">
        <v>0</v>
      </c>
      <c r="AI95" t="s">
        <v>126</v>
      </c>
      <c r="AL95">
        <v>1</v>
      </c>
      <c r="AN95">
        <v>1</v>
      </c>
      <c r="AO95">
        <v>0</v>
      </c>
      <c r="AP95" t="s">
        <v>1050</v>
      </c>
      <c r="AR95" t="s">
        <v>127</v>
      </c>
      <c r="AS95">
        <v>1020.34</v>
      </c>
      <c r="AU95">
        <v>0</v>
      </c>
      <c r="AV95">
        <v>0</v>
      </c>
      <c r="AW95">
        <v>0</v>
      </c>
      <c r="AX95">
        <v>1020.34</v>
      </c>
      <c r="AY95">
        <v>56.685555555555652</v>
      </c>
      <c r="AZ95">
        <v>0</v>
      </c>
      <c r="BC95">
        <v>-963.65444444444438</v>
      </c>
      <c r="BE95" t="s">
        <v>114</v>
      </c>
      <c r="BH95">
        <v>-56.685555555555652</v>
      </c>
      <c r="BI95">
        <v>-4.723796296296304</v>
      </c>
      <c r="BK95" t="s">
        <v>116</v>
      </c>
      <c r="BL95">
        <v>0</v>
      </c>
      <c r="BM95">
        <v>-1020.34</v>
      </c>
      <c r="BR95">
        <v>0</v>
      </c>
      <c r="BS95">
        <v>0</v>
      </c>
      <c r="BW95" t="s">
        <v>167</v>
      </c>
      <c r="BX95" t="s">
        <v>168</v>
      </c>
      <c r="BZ95" t="s">
        <v>948</v>
      </c>
    </row>
    <row r="96" spans="1:78">
      <c r="A96" t="s">
        <v>270</v>
      </c>
      <c r="B96" t="s">
        <v>863</v>
      </c>
      <c r="C96" t="s">
        <v>54</v>
      </c>
      <c r="D96" t="s">
        <v>1</v>
      </c>
      <c r="E96" t="s">
        <v>115</v>
      </c>
      <c r="F96" t="s">
        <v>99</v>
      </c>
      <c r="G96" t="s">
        <v>100</v>
      </c>
      <c r="H96" t="s">
        <v>128</v>
      </c>
      <c r="I96" t="s">
        <v>100</v>
      </c>
      <c r="J96" t="s">
        <v>101</v>
      </c>
      <c r="K96" t="s">
        <v>559</v>
      </c>
      <c r="L96" t="s">
        <v>559</v>
      </c>
      <c r="M96" t="s">
        <v>100</v>
      </c>
      <c r="N96" t="s">
        <v>471</v>
      </c>
      <c r="O96" t="s">
        <v>100</v>
      </c>
      <c r="Q96" t="s">
        <v>471</v>
      </c>
      <c r="R96" t="s">
        <v>119</v>
      </c>
      <c r="S96" t="s">
        <v>130</v>
      </c>
      <c r="T96" t="s">
        <v>120</v>
      </c>
      <c r="U96" t="s">
        <v>101</v>
      </c>
      <c r="V96" t="s">
        <v>121</v>
      </c>
      <c r="W96" t="s">
        <v>122</v>
      </c>
      <c r="X96" t="s">
        <v>123</v>
      </c>
      <c r="Y96">
        <v>1</v>
      </c>
      <c r="Z96" t="s">
        <v>571</v>
      </c>
      <c r="AA96" s="280">
        <v>39304</v>
      </c>
      <c r="AB96" t="s">
        <v>114</v>
      </c>
      <c r="AC96" t="s">
        <v>124</v>
      </c>
      <c r="AD96" s="280">
        <v>44651</v>
      </c>
      <c r="AE96" t="s">
        <v>125</v>
      </c>
      <c r="AF96">
        <v>6</v>
      </c>
      <c r="AG96">
        <v>0</v>
      </c>
      <c r="AH96">
        <v>0</v>
      </c>
      <c r="AI96" t="s">
        <v>126</v>
      </c>
      <c r="AL96">
        <v>1</v>
      </c>
      <c r="AN96">
        <v>1</v>
      </c>
      <c r="AO96">
        <v>0</v>
      </c>
      <c r="AP96" t="s">
        <v>1050</v>
      </c>
      <c r="AR96" t="s">
        <v>127</v>
      </c>
      <c r="AS96">
        <v>1020.34</v>
      </c>
      <c r="AU96">
        <v>0</v>
      </c>
      <c r="AV96">
        <v>0</v>
      </c>
      <c r="AW96">
        <v>0</v>
      </c>
      <c r="AX96">
        <v>1020.34</v>
      </c>
      <c r="AY96">
        <v>56.685555555555652</v>
      </c>
      <c r="AZ96">
        <v>0</v>
      </c>
      <c r="BC96">
        <v>-963.65444444444438</v>
      </c>
      <c r="BE96" t="s">
        <v>114</v>
      </c>
      <c r="BH96">
        <v>-56.685555555555652</v>
      </c>
      <c r="BI96">
        <v>-4.723796296296304</v>
      </c>
      <c r="BK96" t="s">
        <v>116</v>
      </c>
      <c r="BL96">
        <v>0</v>
      </c>
      <c r="BM96">
        <v>-1020.34</v>
      </c>
      <c r="BR96">
        <v>0</v>
      </c>
      <c r="BS96">
        <v>0</v>
      </c>
      <c r="BW96" t="s">
        <v>167</v>
      </c>
      <c r="BX96" t="s">
        <v>168</v>
      </c>
      <c r="BZ96" t="s">
        <v>947</v>
      </c>
    </row>
    <row r="97" spans="1:78">
      <c r="A97" t="s">
        <v>271</v>
      </c>
      <c r="B97" t="s">
        <v>864</v>
      </c>
      <c r="C97" t="s">
        <v>54</v>
      </c>
      <c r="D97" t="s">
        <v>1</v>
      </c>
      <c r="E97" t="s">
        <v>115</v>
      </c>
      <c r="F97" t="s">
        <v>99</v>
      </c>
      <c r="G97" t="s">
        <v>100</v>
      </c>
      <c r="H97" t="s">
        <v>128</v>
      </c>
      <c r="I97" t="s">
        <v>100</v>
      </c>
      <c r="J97" t="s">
        <v>101</v>
      </c>
      <c r="K97" t="s">
        <v>559</v>
      </c>
      <c r="L97" t="s">
        <v>559</v>
      </c>
      <c r="M97" t="s">
        <v>100</v>
      </c>
      <c r="N97" t="s">
        <v>472</v>
      </c>
      <c r="O97" t="s">
        <v>100</v>
      </c>
      <c r="Q97" t="s">
        <v>472</v>
      </c>
      <c r="R97" t="s">
        <v>119</v>
      </c>
      <c r="S97" t="s">
        <v>130</v>
      </c>
      <c r="T97" t="s">
        <v>120</v>
      </c>
      <c r="U97" t="s">
        <v>101</v>
      </c>
      <c r="V97" t="s">
        <v>121</v>
      </c>
      <c r="W97" t="s">
        <v>122</v>
      </c>
      <c r="X97" t="s">
        <v>123</v>
      </c>
      <c r="Y97">
        <v>1</v>
      </c>
      <c r="Z97" t="s">
        <v>571</v>
      </c>
      <c r="AA97" s="280">
        <v>39304</v>
      </c>
      <c r="AB97" t="s">
        <v>114</v>
      </c>
      <c r="AC97" t="s">
        <v>124</v>
      </c>
      <c r="AD97" s="280">
        <v>44651</v>
      </c>
      <c r="AE97" t="s">
        <v>125</v>
      </c>
      <c r="AF97">
        <v>6</v>
      </c>
      <c r="AG97">
        <v>0</v>
      </c>
      <c r="AH97">
        <v>0</v>
      </c>
      <c r="AI97" t="s">
        <v>126</v>
      </c>
      <c r="AL97">
        <v>1</v>
      </c>
      <c r="AN97">
        <v>1</v>
      </c>
      <c r="AO97">
        <v>0</v>
      </c>
      <c r="AP97" t="s">
        <v>1050</v>
      </c>
      <c r="AR97" t="s">
        <v>127</v>
      </c>
      <c r="AS97">
        <v>4733.5200000000004</v>
      </c>
      <c r="AU97">
        <v>0</v>
      </c>
      <c r="AV97">
        <v>0</v>
      </c>
      <c r="AW97">
        <v>0</v>
      </c>
      <c r="AX97">
        <v>4733.5200000000004</v>
      </c>
      <c r="AY97">
        <v>262.97333333333336</v>
      </c>
      <c r="AZ97">
        <v>0</v>
      </c>
      <c r="BC97">
        <v>-4470.5466666666671</v>
      </c>
      <c r="BE97" t="s">
        <v>114</v>
      </c>
      <c r="BH97">
        <v>-262.97333333333336</v>
      </c>
      <c r="BI97">
        <v>-21.914444444444445</v>
      </c>
      <c r="BK97" t="s">
        <v>116</v>
      </c>
      <c r="BL97">
        <v>0</v>
      </c>
      <c r="BM97">
        <v>-4733.5200000000004</v>
      </c>
      <c r="BR97">
        <v>0</v>
      </c>
      <c r="BS97">
        <v>0</v>
      </c>
      <c r="BW97" t="s">
        <v>167</v>
      </c>
      <c r="BX97" t="s">
        <v>168</v>
      </c>
      <c r="BZ97" t="s">
        <v>948</v>
      </c>
    </row>
    <row r="98" spans="1:78">
      <c r="A98" t="s">
        <v>272</v>
      </c>
      <c r="B98" t="s">
        <v>864</v>
      </c>
      <c r="C98" t="s">
        <v>54</v>
      </c>
      <c r="D98" t="s">
        <v>1</v>
      </c>
      <c r="E98" t="s">
        <v>115</v>
      </c>
      <c r="F98" t="s">
        <v>99</v>
      </c>
      <c r="G98" t="s">
        <v>100</v>
      </c>
      <c r="H98" t="s">
        <v>128</v>
      </c>
      <c r="I98" t="s">
        <v>100</v>
      </c>
      <c r="J98" t="s">
        <v>101</v>
      </c>
      <c r="K98" t="s">
        <v>559</v>
      </c>
      <c r="L98" t="s">
        <v>559</v>
      </c>
      <c r="M98" t="s">
        <v>100</v>
      </c>
      <c r="N98" t="s">
        <v>472</v>
      </c>
      <c r="O98" t="s">
        <v>100</v>
      </c>
      <c r="Q98" t="s">
        <v>472</v>
      </c>
      <c r="R98" t="s">
        <v>119</v>
      </c>
      <c r="S98" t="s">
        <v>130</v>
      </c>
      <c r="T98" t="s">
        <v>120</v>
      </c>
      <c r="U98" t="s">
        <v>101</v>
      </c>
      <c r="V98" t="s">
        <v>121</v>
      </c>
      <c r="W98" t="s">
        <v>122</v>
      </c>
      <c r="X98" t="s">
        <v>123</v>
      </c>
      <c r="Y98">
        <v>1</v>
      </c>
      <c r="Z98" t="s">
        <v>571</v>
      </c>
      <c r="AA98" s="280">
        <v>39304</v>
      </c>
      <c r="AB98" t="s">
        <v>114</v>
      </c>
      <c r="AC98" t="s">
        <v>124</v>
      </c>
      <c r="AD98" s="280">
        <v>44651</v>
      </c>
      <c r="AE98" t="s">
        <v>125</v>
      </c>
      <c r="AF98">
        <v>6</v>
      </c>
      <c r="AG98">
        <v>0</v>
      </c>
      <c r="AH98">
        <v>0</v>
      </c>
      <c r="AI98" t="s">
        <v>126</v>
      </c>
      <c r="AL98">
        <v>1</v>
      </c>
      <c r="AN98">
        <v>1</v>
      </c>
      <c r="AO98">
        <v>0</v>
      </c>
      <c r="AP98" t="s">
        <v>1050</v>
      </c>
      <c r="AR98" t="s">
        <v>127</v>
      </c>
      <c r="AS98">
        <v>4733.5200000000004</v>
      </c>
      <c r="AU98">
        <v>0</v>
      </c>
      <c r="AV98">
        <v>0</v>
      </c>
      <c r="AW98">
        <v>0</v>
      </c>
      <c r="AX98">
        <v>4733.5200000000004</v>
      </c>
      <c r="AY98">
        <v>262.97333333333336</v>
      </c>
      <c r="AZ98">
        <v>0</v>
      </c>
      <c r="BC98">
        <v>-4470.5466666666671</v>
      </c>
      <c r="BE98" t="s">
        <v>114</v>
      </c>
      <c r="BH98">
        <v>-262.97333333333336</v>
      </c>
      <c r="BI98">
        <v>-21.914444444444445</v>
      </c>
      <c r="BK98" t="s">
        <v>116</v>
      </c>
      <c r="BL98">
        <v>0</v>
      </c>
      <c r="BM98">
        <v>-4733.5200000000004</v>
      </c>
      <c r="BR98">
        <v>0</v>
      </c>
      <c r="BS98">
        <v>0</v>
      </c>
      <c r="BW98" t="s">
        <v>167</v>
      </c>
      <c r="BX98" t="s">
        <v>168</v>
      </c>
      <c r="BZ98" t="s">
        <v>948</v>
      </c>
    </row>
    <row r="99" spans="1:78">
      <c r="A99" t="s">
        <v>273</v>
      </c>
      <c r="B99" t="s">
        <v>854</v>
      </c>
      <c r="C99" t="s">
        <v>54</v>
      </c>
      <c r="D99" t="s">
        <v>1</v>
      </c>
      <c r="E99" t="s">
        <v>115</v>
      </c>
      <c r="F99" t="s">
        <v>99</v>
      </c>
      <c r="G99" t="s">
        <v>100</v>
      </c>
      <c r="H99" t="s">
        <v>128</v>
      </c>
      <c r="I99" t="s">
        <v>100</v>
      </c>
      <c r="J99" t="s">
        <v>101</v>
      </c>
      <c r="K99" t="s">
        <v>559</v>
      </c>
      <c r="L99" t="s">
        <v>559</v>
      </c>
      <c r="M99" t="s">
        <v>100</v>
      </c>
      <c r="N99" t="s">
        <v>473</v>
      </c>
      <c r="O99" t="s">
        <v>100</v>
      </c>
      <c r="Q99" t="s">
        <v>473</v>
      </c>
      <c r="R99" t="s">
        <v>119</v>
      </c>
      <c r="S99" t="s">
        <v>130</v>
      </c>
      <c r="T99" t="s">
        <v>120</v>
      </c>
      <c r="U99" t="s">
        <v>101</v>
      </c>
      <c r="V99" t="s">
        <v>121</v>
      </c>
      <c r="W99" t="s">
        <v>122</v>
      </c>
      <c r="X99" t="s">
        <v>123</v>
      </c>
      <c r="Y99">
        <v>1</v>
      </c>
      <c r="Z99" t="s">
        <v>571</v>
      </c>
      <c r="AA99" s="280">
        <v>39304</v>
      </c>
      <c r="AB99" t="s">
        <v>114</v>
      </c>
      <c r="AC99" t="s">
        <v>124</v>
      </c>
      <c r="AD99" s="280">
        <v>44651</v>
      </c>
      <c r="AE99" t="s">
        <v>125</v>
      </c>
      <c r="AF99">
        <v>6</v>
      </c>
      <c r="AG99">
        <v>0</v>
      </c>
      <c r="AH99">
        <v>0</v>
      </c>
      <c r="AI99" t="s">
        <v>126</v>
      </c>
      <c r="AL99">
        <v>1</v>
      </c>
      <c r="AN99">
        <v>1</v>
      </c>
      <c r="AO99">
        <v>0</v>
      </c>
      <c r="AP99" t="s">
        <v>1051</v>
      </c>
      <c r="AR99" t="s">
        <v>127</v>
      </c>
      <c r="AS99">
        <v>1262.27</v>
      </c>
      <c r="AU99">
        <v>0</v>
      </c>
      <c r="AV99">
        <v>0</v>
      </c>
      <c r="AW99">
        <v>0</v>
      </c>
      <c r="AX99">
        <v>1262.27</v>
      </c>
      <c r="AY99">
        <v>70.126111111111186</v>
      </c>
      <c r="AZ99">
        <v>0</v>
      </c>
      <c r="BC99">
        <v>-1192.1438888888888</v>
      </c>
      <c r="BE99" t="s">
        <v>114</v>
      </c>
      <c r="BH99">
        <v>-70.126111111111186</v>
      </c>
      <c r="BI99">
        <v>-5.8438425925925985</v>
      </c>
      <c r="BK99" t="s">
        <v>116</v>
      </c>
      <c r="BL99">
        <v>0</v>
      </c>
      <c r="BM99">
        <v>-1262.27</v>
      </c>
      <c r="BR99">
        <v>0</v>
      </c>
      <c r="BS99">
        <v>0</v>
      </c>
      <c r="BW99" t="s">
        <v>167</v>
      </c>
      <c r="BX99" t="s">
        <v>168</v>
      </c>
      <c r="BZ99" t="s">
        <v>940</v>
      </c>
    </row>
    <row r="100" spans="1:78">
      <c r="A100" t="s">
        <v>274</v>
      </c>
      <c r="B100">
        <v>0</v>
      </c>
      <c r="C100" t="s">
        <v>54</v>
      </c>
      <c r="D100" t="s">
        <v>1</v>
      </c>
      <c r="E100" t="s">
        <v>115</v>
      </c>
      <c r="F100" t="s">
        <v>99</v>
      </c>
      <c r="G100" t="s">
        <v>100</v>
      </c>
      <c r="H100" t="s">
        <v>128</v>
      </c>
      <c r="I100" t="s">
        <v>100</v>
      </c>
      <c r="J100" t="s">
        <v>101</v>
      </c>
      <c r="K100" t="s">
        <v>559</v>
      </c>
      <c r="L100" t="s">
        <v>559</v>
      </c>
      <c r="M100" t="s">
        <v>100</v>
      </c>
      <c r="N100" t="s">
        <v>474</v>
      </c>
      <c r="O100" t="s">
        <v>100</v>
      </c>
      <c r="Q100" t="s">
        <v>474</v>
      </c>
      <c r="R100" t="s">
        <v>119</v>
      </c>
      <c r="S100" t="s">
        <v>130</v>
      </c>
      <c r="T100" t="s">
        <v>120</v>
      </c>
      <c r="U100" t="s">
        <v>101</v>
      </c>
      <c r="V100" t="s">
        <v>121</v>
      </c>
      <c r="W100" t="s">
        <v>122</v>
      </c>
      <c r="X100" t="s">
        <v>123</v>
      </c>
      <c r="Y100">
        <v>1</v>
      </c>
      <c r="Z100" t="s">
        <v>572</v>
      </c>
      <c r="AA100" s="280">
        <v>39478</v>
      </c>
      <c r="AB100" t="s">
        <v>114</v>
      </c>
      <c r="AC100" t="s">
        <v>124</v>
      </c>
      <c r="AD100" s="280">
        <v>44651</v>
      </c>
      <c r="AE100" t="s">
        <v>125</v>
      </c>
      <c r="AF100">
        <v>6</v>
      </c>
      <c r="AG100">
        <v>0</v>
      </c>
      <c r="AH100">
        <v>0</v>
      </c>
      <c r="AI100" t="s">
        <v>126</v>
      </c>
      <c r="AL100">
        <v>1</v>
      </c>
      <c r="AN100">
        <v>1</v>
      </c>
      <c r="AO100">
        <v>0</v>
      </c>
      <c r="AP100">
        <v>0</v>
      </c>
      <c r="AR100" t="s">
        <v>127</v>
      </c>
      <c r="AS100">
        <v>957.6</v>
      </c>
      <c r="AU100">
        <v>0</v>
      </c>
      <c r="AV100">
        <v>0</v>
      </c>
      <c r="AW100">
        <v>0</v>
      </c>
      <c r="AX100">
        <v>957.6</v>
      </c>
      <c r="AY100">
        <v>53.199999999999932</v>
      </c>
      <c r="AZ100">
        <v>0</v>
      </c>
      <c r="BC100">
        <v>-904.40000000000009</v>
      </c>
      <c r="BE100" t="s">
        <v>114</v>
      </c>
      <c r="BH100">
        <v>-53.199999999999932</v>
      </c>
      <c r="BI100">
        <v>-4.4333333333333274</v>
      </c>
      <c r="BK100" t="s">
        <v>116</v>
      </c>
      <c r="BL100">
        <v>0</v>
      </c>
      <c r="BM100">
        <v>-957.6</v>
      </c>
      <c r="BR100">
        <v>0</v>
      </c>
      <c r="BS100">
        <v>0</v>
      </c>
      <c r="BW100" t="s">
        <v>167</v>
      </c>
      <c r="BX100" t="s">
        <v>168</v>
      </c>
      <c r="BZ100">
        <v>0</v>
      </c>
    </row>
    <row r="101" spans="1:78">
      <c r="A101" t="s">
        <v>275</v>
      </c>
      <c r="B101" t="s">
        <v>863</v>
      </c>
      <c r="C101" t="s">
        <v>54</v>
      </c>
      <c r="D101" t="s">
        <v>1</v>
      </c>
      <c r="E101" t="s">
        <v>115</v>
      </c>
      <c r="F101" t="s">
        <v>99</v>
      </c>
      <c r="G101" t="s">
        <v>100</v>
      </c>
      <c r="H101" t="s">
        <v>128</v>
      </c>
      <c r="I101" t="s">
        <v>100</v>
      </c>
      <c r="J101" t="s">
        <v>101</v>
      </c>
      <c r="K101" t="s">
        <v>559</v>
      </c>
      <c r="L101" t="s">
        <v>559</v>
      </c>
      <c r="M101" t="s">
        <v>100</v>
      </c>
      <c r="N101" t="s">
        <v>475</v>
      </c>
      <c r="O101" t="s">
        <v>100</v>
      </c>
      <c r="Q101" t="s">
        <v>475</v>
      </c>
      <c r="R101" t="s">
        <v>119</v>
      </c>
      <c r="S101" t="s">
        <v>130</v>
      </c>
      <c r="T101" t="s">
        <v>120</v>
      </c>
      <c r="U101" t="s">
        <v>101</v>
      </c>
      <c r="V101" t="s">
        <v>121</v>
      </c>
      <c r="W101" t="s">
        <v>122</v>
      </c>
      <c r="X101" t="s">
        <v>123</v>
      </c>
      <c r="Y101">
        <v>1</v>
      </c>
      <c r="Z101" t="s">
        <v>572</v>
      </c>
      <c r="AA101" s="280">
        <v>39478</v>
      </c>
      <c r="AB101" t="s">
        <v>114</v>
      </c>
      <c r="AC101" t="s">
        <v>124</v>
      </c>
      <c r="AD101" s="280">
        <v>44651</v>
      </c>
      <c r="AE101" t="s">
        <v>125</v>
      </c>
      <c r="AF101">
        <v>6</v>
      </c>
      <c r="AG101">
        <v>0</v>
      </c>
      <c r="AH101">
        <v>0</v>
      </c>
      <c r="AI101" t="s">
        <v>126</v>
      </c>
      <c r="AL101">
        <v>1</v>
      </c>
      <c r="AN101">
        <v>1</v>
      </c>
      <c r="AO101">
        <v>0</v>
      </c>
      <c r="AP101" t="s">
        <v>1051</v>
      </c>
      <c r="AR101" t="s">
        <v>127</v>
      </c>
      <c r="AS101">
        <v>1750</v>
      </c>
      <c r="AU101">
        <v>0</v>
      </c>
      <c r="AV101">
        <v>0</v>
      </c>
      <c r="AW101">
        <v>0</v>
      </c>
      <c r="AX101">
        <v>1750</v>
      </c>
      <c r="AY101">
        <v>97.222222222222172</v>
      </c>
      <c r="AZ101">
        <v>0</v>
      </c>
      <c r="BC101">
        <v>-1652.7777777777778</v>
      </c>
      <c r="BE101" t="s">
        <v>114</v>
      </c>
      <c r="BH101">
        <v>-97.222222222222172</v>
      </c>
      <c r="BI101">
        <v>-8.1018518518518476</v>
      </c>
      <c r="BK101" t="s">
        <v>116</v>
      </c>
      <c r="BL101">
        <v>0</v>
      </c>
      <c r="BM101">
        <v>-1750</v>
      </c>
      <c r="BR101">
        <v>0</v>
      </c>
      <c r="BS101">
        <v>0</v>
      </c>
      <c r="BW101" t="s">
        <v>167</v>
      </c>
      <c r="BX101" t="s">
        <v>168</v>
      </c>
      <c r="BZ101" t="s">
        <v>947</v>
      </c>
    </row>
    <row r="102" spans="1:78">
      <c r="A102" t="s">
        <v>276</v>
      </c>
      <c r="B102" t="s">
        <v>863</v>
      </c>
      <c r="C102" t="s">
        <v>54</v>
      </c>
      <c r="D102" t="s">
        <v>1</v>
      </c>
      <c r="E102" t="s">
        <v>115</v>
      </c>
      <c r="F102" t="s">
        <v>99</v>
      </c>
      <c r="G102" t="s">
        <v>100</v>
      </c>
      <c r="H102" t="s">
        <v>128</v>
      </c>
      <c r="I102" t="s">
        <v>100</v>
      </c>
      <c r="J102" t="s">
        <v>101</v>
      </c>
      <c r="K102" t="s">
        <v>559</v>
      </c>
      <c r="L102" t="s">
        <v>559</v>
      </c>
      <c r="M102" t="s">
        <v>100</v>
      </c>
      <c r="N102" t="s">
        <v>475</v>
      </c>
      <c r="O102" t="s">
        <v>100</v>
      </c>
      <c r="Q102" t="s">
        <v>475</v>
      </c>
      <c r="R102" t="s">
        <v>119</v>
      </c>
      <c r="S102" t="s">
        <v>130</v>
      </c>
      <c r="T102" t="s">
        <v>120</v>
      </c>
      <c r="U102" t="s">
        <v>101</v>
      </c>
      <c r="V102" t="s">
        <v>121</v>
      </c>
      <c r="W102" t="s">
        <v>122</v>
      </c>
      <c r="X102" t="s">
        <v>123</v>
      </c>
      <c r="Y102">
        <v>1</v>
      </c>
      <c r="Z102" t="s">
        <v>572</v>
      </c>
      <c r="AA102" s="280">
        <v>39478</v>
      </c>
      <c r="AB102" t="s">
        <v>114</v>
      </c>
      <c r="AC102" t="s">
        <v>124</v>
      </c>
      <c r="AD102" s="280">
        <v>44651</v>
      </c>
      <c r="AE102" t="s">
        <v>125</v>
      </c>
      <c r="AF102">
        <v>6</v>
      </c>
      <c r="AG102">
        <v>0</v>
      </c>
      <c r="AH102">
        <v>0</v>
      </c>
      <c r="AI102" t="s">
        <v>126</v>
      </c>
      <c r="AL102">
        <v>1</v>
      </c>
      <c r="AN102">
        <v>1</v>
      </c>
      <c r="AO102">
        <v>0</v>
      </c>
      <c r="AP102" t="s">
        <v>1050</v>
      </c>
      <c r="AR102" t="s">
        <v>127</v>
      </c>
      <c r="AS102">
        <v>1750</v>
      </c>
      <c r="AU102">
        <v>0</v>
      </c>
      <c r="AV102">
        <v>0</v>
      </c>
      <c r="AW102">
        <v>0</v>
      </c>
      <c r="AX102">
        <v>1750</v>
      </c>
      <c r="AY102">
        <v>97.222222222222172</v>
      </c>
      <c r="AZ102">
        <v>0</v>
      </c>
      <c r="BC102">
        <v>-1652.7777777777778</v>
      </c>
      <c r="BE102" t="s">
        <v>114</v>
      </c>
      <c r="BH102">
        <v>-97.222222222222172</v>
      </c>
      <c r="BI102">
        <v>-8.1018518518518476</v>
      </c>
      <c r="BK102" t="s">
        <v>116</v>
      </c>
      <c r="BL102">
        <v>0</v>
      </c>
      <c r="BM102">
        <v>-1750</v>
      </c>
      <c r="BR102">
        <v>0</v>
      </c>
      <c r="BS102">
        <v>0</v>
      </c>
      <c r="BW102" t="s">
        <v>167</v>
      </c>
      <c r="BX102" t="s">
        <v>168</v>
      </c>
      <c r="BZ102" t="s">
        <v>947</v>
      </c>
    </row>
    <row r="103" spans="1:78">
      <c r="A103" t="s">
        <v>277</v>
      </c>
      <c r="B103" t="s">
        <v>874</v>
      </c>
      <c r="C103" t="s">
        <v>54</v>
      </c>
      <c r="D103" t="s">
        <v>1</v>
      </c>
      <c r="E103" t="s">
        <v>115</v>
      </c>
      <c r="F103" t="s">
        <v>99</v>
      </c>
      <c r="G103" t="s">
        <v>100</v>
      </c>
      <c r="H103" t="s">
        <v>128</v>
      </c>
      <c r="I103" t="s">
        <v>100</v>
      </c>
      <c r="J103" t="s">
        <v>101</v>
      </c>
      <c r="K103" t="s">
        <v>559</v>
      </c>
      <c r="L103" t="s">
        <v>559</v>
      </c>
      <c r="M103" t="s">
        <v>100</v>
      </c>
      <c r="N103" t="s">
        <v>475</v>
      </c>
      <c r="O103" t="s">
        <v>100</v>
      </c>
      <c r="Q103" t="s">
        <v>475</v>
      </c>
      <c r="R103" t="s">
        <v>119</v>
      </c>
      <c r="S103" t="s">
        <v>130</v>
      </c>
      <c r="T103" t="s">
        <v>120</v>
      </c>
      <c r="U103" t="s">
        <v>101</v>
      </c>
      <c r="V103" t="s">
        <v>121</v>
      </c>
      <c r="W103" t="s">
        <v>122</v>
      </c>
      <c r="X103" t="s">
        <v>123</v>
      </c>
      <c r="Y103">
        <v>1</v>
      </c>
      <c r="Z103" t="s">
        <v>572</v>
      </c>
      <c r="AA103" s="280">
        <v>39478</v>
      </c>
      <c r="AB103" t="s">
        <v>114</v>
      </c>
      <c r="AC103" t="s">
        <v>124</v>
      </c>
      <c r="AD103" s="280">
        <v>44651</v>
      </c>
      <c r="AE103" t="s">
        <v>125</v>
      </c>
      <c r="AF103">
        <v>6</v>
      </c>
      <c r="AG103">
        <v>0</v>
      </c>
      <c r="AH103">
        <v>0</v>
      </c>
      <c r="AI103" t="s">
        <v>126</v>
      </c>
      <c r="AL103">
        <v>1</v>
      </c>
      <c r="AN103">
        <v>1</v>
      </c>
      <c r="AO103">
        <v>0</v>
      </c>
      <c r="AP103" t="s">
        <v>1050</v>
      </c>
      <c r="AR103" t="s">
        <v>127</v>
      </c>
      <c r="AS103">
        <v>1750</v>
      </c>
      <c r="AU103">
        <v>0</v>
      </c>
      <c r="AV103">
        <v>0</v>
      </c>
      <c r="AW103">
        <v>0</v>
      </c>
      <c r="AX103">
        <v>1750</v>
      </c>
      <c r="AY103">
        <v>97.222222222222172</v>
      </c>
      <c r="AZ103">
        <v>0</v>
      </c>
      <c r="BC103">
        <v>-1652.7777777777778</v>
      </c>
      <c r="BE103" t="s">
        <v>114</v>
      </c>
      <c r="BH103">
        <v>-97.222222222222172</v>
      </c>
      <c r="BI103">
        <v>-8.1018518518518476</v>
      </c>
      <c r="BK103" t="s">
        <v>116</v>
      </c>
      <c r="BL103">
        <v>0</v>
      </c>
      <c r="BM103">
        <v>-1750</v>
      </c>
      <c r="BR103">
        <v>0</v>
      </c>
      <c r="BS103">
        <v>0</v>
      </c>
      <c r="BW103" t="s">
        <v>167</v>
      </c>
      <c r="BX103" t="s">
        <v>168</v>
      </c>
      <c r="BZ103" t="s">
        <v>959</v>
      </c>
    </row>
    <row r="104" spans="1:78">
      <c r="A104" t="s">
        <v>278</v>
      </c>
      <c r="B104" t="s">
        <v>871</v>
      </c>
      <c r="C104" t="s">
        <v>54</v>
      </c>
      <c r="D104" t="s">
        <v>1</v>
      </c>
      <c r="E104" t="s">
        <v>115</v>
      </c>
      <c r="F104" t="s">
        <v>99</v>
      </c>
      <c r="G104" t="s">
        <v>100</v>
      </c>
      <c r="H104" t="s">
        <v>128</v>
      </c>
      <c r="I104" t="s">
        <v>100</v>
      </c>
      <c r="J104" t="s">
        <v>101</v>
      </c>
      <c r="K104" t="s">
        <v>559</v>
      </c>
      <c r="L104" t="s">
        <v>559</v>
      </c>
      <c r="M104" t="s">
        <v>100</v>
      </c>
      <c r="N104" t="s">
        <v>476</v>
      </c>
      <c r="O104" t="s">
        <v>100</v>
      </c>
      <c r="Q104" t="s">
        <v>476</v>
      </c>
      <c r="R104" t="s">
        <v>119</v>
      </c>
      <c r="S104" t="s">
        <v>130</v>
      </c>
      <c r="T104" t="s">
        <v>120</v>
      </c>
      <c r="U104" t="s">
        <v>101</v>
      </c>
      <c r="V104" t="s">
        <v>121</v>
      </c>
      <c r="W104" t="s">
        <v>122</v>
      </c>
      <c r="X104" t="s">
        <v>123</v>
      </c>
      <c r="Y104">
        <v>1</v>
      </c>
      <c r="Z104" t="s">
        <v>572</v>
      </c>
      <c r="AA104" s="280">
        <v>39478</v>
      </c>
      <c r="AB104" t="s">
        <v>114</v>
      </c>
      <c r="AC104" t="s">
        <v>124</v>
      </c>
      <c r="AD104" s="280">
        <v>44651</v>
      </c>
      <c r="AE104" t="s">
        <v>125</v>
      </c>
      <c r="AF104">
        <v>6</v>
      </c>
      <c r="AG104">
        <v>0</v>
      </c>
      <c r="AH104">
        <v>0</v>
      </c>
      <c r="AI104" t="s">
        <v>126</v>
      </c>
      <c r="AL104">
        <v>1</v>
      </c>
      <c r="AN104">
        <v>1</v>
      </c>
      <c r="AO104">
        <v>0</v>
      </c>
      <c r="AP104" t="s">
        <v>1050</v>
      </c>
      <c r="AR104" t="s">
        <v>127</v>
      </c>
      <c r="AS104">
        <v>550</v>
      </c>
      <c r="AU104">
        <v>0</v>
      </c>
      <c r="AV104">
        <v>0</v>
      </c>
      <c r="AW104">
        <v>0</v>
      </c>
      <c r="AX104">
        <v>550</v>
      </c>
      <c r="AY104">
        <v>30.555555555555543</v>
      </c>
      <c r="AZ104">
        <v>0</v>
      </c>
      <c r="BC104">
        <v>-519.44444444444446</v>
      </c>
      <c r="BE104" t="s">
        <v>114</v>
      </c>
      <c r="BH104">
        <v>-30.555555555555543</v>
      </c>
      <c r="BI104">
        <v>-2.5462962962962954</v>
      </c>
      <c r="BK104" t="s">
        <v>116</v>
      </c>
      <c r="BL104">
        <v>0</v>
      </c>
      <c r="BM104">
        <v>-550</v>
      </c>
      <c r="BR104">
        <v>0</v>
      </c>
      <c r="BS104">
        <v>0</v>
      </c>
      <c r="BW104" t="s">
        <v>167</v>
      </c>
      <c r="BX104" t="s">
        <v>168</v>
      </c>
      <c r="BZ104" t="s">
        <v>955</v>
      </c>
    </row>
    <row r="105" spans="1:78">
      <c r="A105" t="s">
        <v>279</v>
      </c>
      <c r="B105" t="s">
        <v>863</v>
      </c>
      <c r="C105" t="s">
        <v>54</v>
      </c>
      <c r="D105" t="s">
        <v>1</v>
      </c>
      <c r="E105" t="s">
        <v>115</v>
      </c>
      <c r="F105" t="s">
        <v>99</v>
      </c>
      <c r="G105" t="s">
        <v>100</v>
      </c>
      <c r="H105" t="s">
        <v>128</v>
      </c>
      <c r="I105" t="s">
        <v>100</v>
      </c>
      <c r="J105" t="s">
        <v>101</v>
      </c>
      <c r="K105" t="s">
        <v>559</v>
      </c>
      <c r="L105" t="s">
        <v>559</v>
      </c>
      <c r="M105" t="s">
        <v>100</v>
      </c>
      <c r="N105" t="s">
        <v>477</v>
      </c>
      <c r="O105" t="s">
        <v>100</v>
      </c>
      <c r="Q105" t="s">
        <v>477</v>
      </c>
      <c r="R105" t="s">
        <v>119</v>
      </c>
      <c r="S105" t="s">
        <v>130</v>
      </c>
      <c r="T105" t="s">
        <v>120</v>
      </c>
      <c r="U105" t="s">
        <v>101</v>
      </c>
      <c r="V105" t="s">
        <v>121</v>
      </c>
      <c r="W105" t="s">
        <v>122</v>
      </c>
      <c r="X105" t="s">
        <v>123</v>
      </c>
      <c r="Y105">
        <v>1</v>
      </c>
      <c r="Z105" t="s">
        <v>572</v>
      </c>
      <c r="AA105" s="280">
        <v>39478</v>
      </c>
      <c r="AB105" t="s">
        <v>114</v>
      </c>
      <c r="AC105" t="s">
        <v>124</v>
      </c>
      <c r="AD105" s="280">
        <v>44651</v>
      </c>
      <c r="AE105" t="s">
        <v>125</v>
      </c>
      <c r="AF105">
        <v>6</v>
      </c>
      <c r="AG105">
        <v>0</v>
      </c>
      <c r="AH105">
        <v>0</v>
      </c>
      <c r="AI105" t="s">
        <v>126</v>
      </c>
      <c r="AL105">
        <v>1</v>
      </c>
      <c r="AN105">
        <v>1</v>
      </c>
      <c r="AO105">
        <v>0</v>
      </c>
      <c r="AP105" t="s">
        <v>1051</v>
      </c>
      <c r="AR105" t="s">
        <v>127</v>
      </c>
      <c r="AS105">
        <v>4500</v>
      </c>
      <c r="AU105">
        <v>0</v>
      </c>
      <c r="AV105">
        <v>0</v>
      </c>
      <c r="AW105">
        <v>0</v>
      </c>
      <c r="AX105">
        <v>4500</v>
      </c>
      <c r="AY105">
        <v>250</v>
      </c>
      <c r="AZ105">
        <v>0</v>
      </c>
      <c r="BC105">
        <v>-4250</v>
      </c>
      <c r="BE105" t="s">
        <v>114</v>
      </c>
      <c r="BH105">
        <v>-250</v>
      </c>
      <c r="BI105">
        <v>-20.833333333333332</v>
      </c>
      <c r="BK105" t="s">
        <v>116</v>
      </c>
      <c r="BL105">
        <v>0</v>
      </c>
      <c r="BM105">
        <v>-4500</v>
      </c>
      <c r="BR105">
        <v>0</v>
      </c>
      <c r="BS105">
        <v>0</v>
      </c>
      <c r="BW105" t="s">
        <v>167</v>
      </c>
      <c r="BX105" t="s">
        <v>168</v>
      </c>
      <c r="BZ105" t="s">
        <v>947</v>
      </c>
    </row>
    <row r="106" spans="1:78">
      <c r="A106" t="s">
        <v>280</v>
      </c>
      <c r="B106" t="s">
        <v>863</v>
      </c>
      <c r="C106" t="s">
        <v>54</v>
      </c>
      <c r="D106" t="s">
        <v>1</v>
      </c>
      <c r="E106" t="s">
        <v>115</v>
      </c>
      <c r="F106" t="s">
        <v>99</v>
      </c>
      <c r="G106" t="s">
        <v>100</v>
      </c>
      <c r="H106" t="s">
        <v>128</v>
      </c>
      <c r="I106" t="s">
        <v>100</v>
      </c>
      <c r="J106" t="s">
        <v>101</v>
      </c>
      <c r="K106" t="s">
        <v>559</v>
      </c>
      <c r="L106" t="s">
        <v>559</v>
      </c>
      <c r="M106" t="s">
        <v>100</v>
      </c>
      <c r="N106" t="s">
        <v>477</v>
      </c>
      <c r="O106" t="s">
        <v>100</v>
      </c>
      <c r="Q106" t="s">
        <v>477</v>
      </c>
      <c r="R106" t="s">
        <v>119</v>
      </c>
      <c r="S106" t="s">
        <v>130</v>
      </c>
      <c r="T106" t="s">
        <v>120</v>
      </c>
      <c r="U106" t="s">
        <v>101</v>
      </c>
      <c r="V106" t="s">
        <v>121</v>
      </c>
      <c r="W106" t="s">
        <v>122</v>
      </c>
      <c r="X106" t="s">
        <v>123</v>
      </c>
      <c r="Y106">
        <v>1</v>
      </c>
      <c r="Z106" t="s">
        <v>573</v>
      </c>
      <c r="AA106" s="280">
        <v>39471</v>
      </c>
      <c r="AB106" t="s">
        <v>114</v>
      </c>
      <c r="AC106" t="s">
        <v>124</v>
      </c>
      <c r="AD106" s="280">
        <v>44651</v>
      </c>
      <c r="AE106" t="s">
        <v>125</v>
      </c>
      <c r="AF106">
        <v>6</v>
      </c>
      <c r="AG106">
        <v>0</v>
      </c>
      <c r="AH106">
        <v>0</v>
      </c>
      <c r="AI106" t="s">
        <v>126</v>
      </c>
      <c r="AL106">
        <v>1</v>
      </c>
      <c r="AN106">
        <v>1</v>
      </c>
      <c r="AO106">
        <v>0</v>
      </c>
      <c r="AP106" t="s">
        <v>1051</v>
      </c>
      <c r="AR106" t="s">
        <v>127</v>
      </c>
      <c r="AS106">
        <v>4500</v>
      </c>
      <c r="AU106">
        <v>0</v>
      </c>
      <c r="AV106">
        <v>0</v>
      </c>
      <c r="AW106">
        <v>0</v>
      </c>
      <c r="AX106">
        <v>4500</v>
      </c>
      <c r="AY106">
        <v>250</v>
      </c>
      <c r="AZ106">
        <v>0</v>
      </c>
      <c r="BC106">
        <v>-4250</v>
      </c>
      <c r="BE106" t="s">
        <v>114</v>
      </c>
      <c r="BH106">
        <v>-250</v>
      </c>
      <c r="BI106">
        <v>-20.833333333333332</v>
      </c>
      <c r="BK106" t="s">
        <v>116</v>
      </c>
      <c r="BL106">
        <v>0</v>
      </c>
      <c r="BM106">
        <v>-4500</v>
      </c>
      <c r="BR106">
        <v>0</v>
      </c>
      <c r="BS106">
        <v>0</v>
      </c>
      <c r="BW106" t="s">
        <v>167</v>
      </c>
      <c r="BX106" t="s">
        <v>168</v>
      </c>
      <c r="BZ106" t="s">
        <v>947</v>
      </c>
    </row>
    <row r="107" spans="1:78">
      <c r="A107" t="s">
        <v>281</v>
      </c>
      <c r="B107" t="s">
        <v>863</v>
      </c>
      <c r="C107" t="s">
        <v>54</v>
      </c>
      <c r="D107" t="s">
        <v>1</v>
      </c>
      <c r="E107" t="s">
        <v>115</v>
      </c>
      <c r="F107" t="s">
        <v>99</v>
      </c>
      <c r="G107" t="s">
        <v>100</v>
      </c>
      <c r="H107" t="s">
        <v>128</v>
      </c>
      <c r="I107" t="s">
        <v>100</v>
      </c>
      <c r="J107" t="s">
        <v>101</v>
      </c>
      <c r="K107" t="s">
        <v>559</v>
      </c>
      <c r="L107" t="s">
        <v>559</v>
      </c>
      <c r="M107" t="s">
        <v>100</v>
      </c>
      <c r="N107" t="s">
        <v>477</v>
      </c>
      <c r="O107" t="s">
        <v>100</v>
      </c>
      <c r="Q107" t="s">
        <v>477</v>
      </c>
      <c r="R107" t="s">
        <v>119</v>
      </c>
      <c r="S107" t="s">
        <v>130</v>
      </c>
      <c r="T107" t="s">
        <v>120</v>
      </c>
      <c r="U107" t="s">
        <v>101</v>
      </c>
      <c r="V107" t="s">
        <v>121</v>
      </c>
      <c r="W107" t="s">
        <v>122</v>
      </c>
      <c r="X107" t="s">
        <v>123</v>
      </c>
      <c r="Y107">
        <v>1</v>
      </c>
      <c r="Z107" t="s">
        <v>572</v>
      </c>
      <c r="AA107" s="280">
        <v>39478</v>
      </c>
      <c r="AB107" t="s">
        <v>114</v>
      </c>
      <c r="AC107" t="s">
        <v>124</v>
      </c>
      <c r="AD107" s="280">
        <v>44651</v>
      </c>
      <c r="AE107" t="s">
        <v>125</v>
      </c>
      <c r="AF107">
        <v>6</v>
      </c>
      <c r="AG107">
        <v>0</v>
      </c>
      <c r="AH107">
        <v>0</v>
      </c>
      <c r="AI107" t="s">
        <v>126</v>
      </c>
      <c r="AL107">
        <v>1</v>
      </c>
      <c r="AN107">
        <v>1</v>
      </c>
      <c r="AO107">
        <v>0</v>
      </c>
      <c r="AP107" t="s">
        <v>1051</v>
      </c>
      <c r="AR107" t="s">
        <v>127</v>
      </c>
      <c r="AS107">
        <v>4500</v>
      </c>
      <c r="AU107">
        <v>0</v>
      </c>
      <c r="AV107">
        <v>0</v>
      </c>
      <c r="AW107">
        <v>0</v>
      </c>
      <c r="AX107">
        <v>4500</v>
      </c>
      <c r="AY107">
        <v>250</v>
      </c>
      <c r="AZ107">
        <v>0</v>
      </c>
      <c r="BC107">
        <v>-4250</v>
      </c>
      <c r="BE107" t="s">
        <v>114</v>
      </c>
      <c r="BH107">
        <v>-250</v>
      </c>
      <c r="BI107">
        <v>-20.833333333333332</v>
      </c>
      <c r="BK107" t="s">
        <v>116</v>
      </c>
      <c r="BL107">
        <v>0</v>
      </c>
      <c r="BM107">
        <v>-4500</v>
      </c>
      <c r="BR107">
        <v>0</v>
      </c>
      <c r="BS107">
        <v>0</v>
      </c>
      <c r="BW107" t="s">
        <v>167</v>
      </c>
      <c r="BX107" t="s">
        <v>168</v>
      </c>
      <c r="BZ107" t="s">
        <v>947</v>
      </c>
    </row>
    <row r="108" spans="1:78">
      <c r="A108" t="s">
        <v>282</v>
      </c>
      <c r="B108">
        <v>0</v>
      </c>
      <c r="C108" t="s">
        <v>54</v>
      </c>
      <c r="D108" t="s">
        <v>1</v>
      </c>
      <c r="E108" t="s">
        <v>115</v>
      </c>
      <c r="F108" t="s">
        <v>99</v>
      </c>
      <c r="G108" t="s">
        <v>100</v>
      </c>
      <c r="H108" t="s">
        <v>128</v>
      </c>
      <c r="I108" t="s">
        <v>100</v>
      </c>
      <c r="J108" t="s">
        <v>101</v>
      </c>
      <c r="K108" t="s">
        <v>559</v>
      </c>
      <c r="L108" t="s">
        <v>559</v>
      </c>
      <c r="M108" t="s">
        <v>100</v>
      </c>
      <c r="N108" t="s">
        <v>478</v>
      </c>
      <c r="O108" t="s">
        <v>100</v>
      </c>
      <c r="Q108" t="s">
        <v>478</v>
      </c>
      <c r="R108" t="s">
        <v>119</v>
      </c>
      <c r="S108" t="s">
        <v>130</v>
      </c>
      <c r="T108" t="s">
        <v>120</v>
      </c>
      <c r="U108" t="s">
        <v>101</v>
      </c>
      <c r="V108" t="s">
        <v>121</v>
      </c>
      <c r="W108" t="s">
        <v>122</v>
      </c>
      <c r="X108" t="s">
        <v>123</v>
      </c>
      <c r="Y108">
        <v>1</v>
      </c>
      <c r="Z108" t="s">
        <v>572</v>
      </c>
      <c r="AA108" s="280">
        <v>39478</v>
      </c>
      <c r="AB108" t="s">
        <v>114</v>
      </c>
      <c r="AC108" t="s">
        <v>124</v>
      </c>
      <c r="AD108" s="280">
        <v>44651</v>
      </c>
      <c r="AE108" t="s">
        <v>125</v>
      </c>
      <c r="AF108">
        <v>6</v>
      </c>
      <c r="AG108">
        <v>0</v>
      </c>
      <c r="AH108">
        <v>0</v>
      </c>
      <c r="AI108" t="s">
        <v>126</v>
      </c>
      <c r="AL108">
        <v>1</v>
      </c>
      <c r="AN108">
        <v>1</v>
      </c>
      <c r="AO108">
        <v>0</v>
      </c>
      <c r="AP108">
        <v>0</v>
      </c>
      <c r="AR108" t="s">
        <v>127</v>
      </c>
      <c r="AS108">
        <v>4500</v>
      </c>
      <c r="AU108">
        <v>0</v>
      </c>
      <c r="AV108">
        <v>0</v>
      </c>
      <c r="AW108">
        <v>0</v>
      </c>
      <c r="AX108">
        <v>4500</v>
      </c>
      <c r="AY108">
        <v>250</v>
      </c>
      <c r="AZ108">
        <v>0</v>
      </c>
      <c r="BC108">
        <v>-4250</v>
      </c>
      <c r="BE108" t="s">
        <v>114</v>
      </c>
      <c r="BH108">
        <v>-250</v>
      </c>
      <c r="BI108">
        <v>-20.833333333333332</v>
      </c>
      <c r="BK108" t="s">
        <v>116</v>
      </c>
      <c r="BL108">
        <v>0</v>
      </c>
      <c r="BM108">
        <v>-4500</v>
      </c>
      <c r="BR108">
        <v>0</v>
      </c>
      <c r="BS108">
        <v>0</v>
      </c>
      <c r="BW108" t="s">
        <v>167</v>
      </c>
      <c r="BX108" t="s">
        <v>168</v>
      </c>
      <c r="BZ108">
        <v>0</v>
      </c>
    </row>
    <row r="109" spans="1:78">
      <c r="A109" t="s">
        <v>283</v>
      </c>
      <c r="B109">
        <v>0</v>
      </c>
      <c r="C109" t="s">
        <v>54</v>
      </c>
      <c r="D109" t="s">
        <v>1</v>
      </c>
      <c r="E109" t="s">
        <v>115</v>
      </c>
      <c r="F109" t="s">
        <v>99</v>
      </c>
      <c r="G109" t="s">
        <v>100</v>
      </c>
      <c r="H109" t="s">
        <v>128</v>
      </c>
      <c r="I109" t="s">
        <v>100</v>
      </c>
      <c r="J109" t="s">
        <v>101</v>
      </c>
      <c r="K109" t="s">
        <v>559</v>
      </c>
      <c r="L109" t="s">
        <v>559</v>
      </c>
      <c r="M109" t="s">
        <v>100</v>
      </c>
      <c r="N109" t="s">
        <v>479</v>
      </c>
      <c r="O109" t="s">
        <v>100</v>
      </c>
      <c r="Q109" t="s">
        <v>479</v>
      </c>
      <c r="R109" t="s">
        <v>119</v>
      </c>
      <c r="S109" t="s">
        <v>130</v>
      </c>
      <c r="T109" t="s">
        <v>120</v>
      </c>
      <c r="U109" t="s">
        <v>101</v>
      </c>
      <c r="V109" t="s">
        <v>121</v>
      </c>
      <c r="W109" t="s">
        <v>122</v>
      </c>
      <c r="X109" t="s">
        <v>123</v>
      </c>
      <c r="Y109">
        <v>1</v>
      </c>
      <c r="Z109" t="s">
        <v>574</v>
      </c>
      <c r="AA109" s="280">
        <v>39503</v>
      </c>
      <c r="AB109" t="s">
        <v>114</v>
      </c>
      <c r="AC109" t="s">
        <v>124</v>
      </c>
      <c r="AD109" s="280">
        <v>44651</v>
      </c>
      <c r="AE109" t="s">
        <v>125</v>
      </c>
      <c r="AF109">
        <v>6</v>
      </c>
      <c r="AG109">
        <v>0</v>
      </c>
      <c r="AH109">
        <v>0</v>
      </c>
      <c r="AI109" t="s">
        <v>126</v>
      </c>
      <c r="AL109">
        <v>1</v>
      </c>
      <c r="AN109">
        <v>1</v>
      </c>
      <c r="AO109">
        <v>0</v>
      </c>
      <c r="AP109">
        <v>0</v>
      </c>
      <c r="AR109" t="s">
        <v>127</v>
      </c>
      <c r="AS109">
        <v>450</v>
      </c>
      <c r="AU109">
        <v>0</v>
      </c>
      <c r="AV109">
        <v>0</v>
      </c>
      <c r="AW109">
        <v>0</v>
      </c>
      <c r="AX109">
        <v>450</v>
      </c>
      <c r="AY109">
        <v>25</v>
      </c>
      <c r="AZ109">
        <v>0</v>
      </c>
      <c r="BC109">
        <v>-425</v>
      </c>
      <c r="BE109" t="s">
        <v>114</v>
      </c>
      <c r="BH109">
        <v>-25</v>
      </c>
      <c r="BI109">
        <v>-2.0833333333333335</v>
      </c>
      <c r="BK109" t="s">
        <v>116</v>
      </c>
      <c r="BL109">
        <v>0</v>
      </c>
      <c r="BM109">
        <v>-450</v>
      </c>
      <c r="BR109">
        <v>0</v>
      </c>
      <c r="BS109">
        <v>0</v>
      </c>
      <c r="BW109" t="s">
        <v>167</v>
      </c>
      <c r="BX109" t="s">
        <v>168</v>
      </c>
      <c r="BZ109">
        <v>0</v>
      </c>
    </row>
    <row r="110" spans="1:78">
      <c r="A110" t="s">
        <v>284</v>
      </c>
      <c r="B110" t="s">
        <v>866</v>
      </c>
      <c r="C110" t="s">
        <v>54</v>
      </c>
      <c r="D110" t="s">
        <v>1</v>
      </c>
      <c r="E110" t="s">
        <v>115</v>
      </c>
      <c r="F110" t="s">
        <v>99</v>
      </c>
      <c r="G110" t="s">
        <v>100</v>
      </c>
      <c r="H110" t="s">
        <v>128</v>
      </c>
      <c r="I110" t="s">
        <v>100</v>
      </c>
      <c r="J110" t="s">
        <v>101</v>
      </c>
      <c r="K110" t="s">
        <v>559</v>
      </c>
      <c r="L110" t="s">
        <v>559</v>
      </c>
      <c r="M110" t="s">
        <v>100</v>
      </c>
      <c r="N110" t="s">
        <v>479</v>
      </c>
      <c r="O110" t="s">
        <v>100</v>
      </c>
      <c r="Q110" t="s">
        <v>479</v>
      </c>
      <c r="R110" t="s">
        <v>119</v>
      </c>
      <c r="S110" t="s">
        <v>130</v>
      </c>
      <c r="T110" t="s">
        <v>120</v>
      </c>
      <c r="U110" t="s">
        <v>101</v>
      </c>
      <c r="V110" t="s">
        <v>121</v>
      </c>
      <c r="W110" t="s">
        <v>122</v>
      </c>
      <c r="X110" t="s">
        <v>123</v>
      </c>
      <c r="Y110">
        <v>1</v>
      </c>
      <c r="Z110" t="s">
        <v>574</v>
      </c>
      <c r="AA110" s="280">
        <v>39503</v>
      </c>
      <c r="AB110" t="s">
        <v>114</v>
      </c>
      <c r="AC110" t="s">
        <v>124</v>
      </c>
      <c r="AD110" s="280">
        <v>44651</v>
      </c>
      <c r="AE110" t="s">
        <v>125</v>
      </c>
      <c r="AF110">
        <v>6</v>
      </c>
      <c r="AG110">
        <v>0</v>
      </c>
      <c r="AH110">
        <v>0</v>
      </c>
      <c r="AI110" t="s">
        <v>126</v>
      </c>
      <c r="AL110">
        <v>1</v>
      </c>
      <c r="AN110">
        <v>1</v>
      </c>
      <c r="AO110">
        <v>0</v>
      </c>
      <c r="AP110" t="s">
        <v>1051</v>
      </c>
      <c r="AR110" t="s">
        <v>127</v>
      </c>
      <c r="AS110">
        <v>450</v>
      </c>
      <c r="AU110">
        <v>0</v>
      </c>
      <c r="AV110">
        <v>0</v>
      </c>
      <c r="AW110">
        <v>0</v>
      </c>
      <c r="AX110">
        <v>450</v>
      </c>
      <c r="AY110">
        <v>25</v>
      </c>
      <c r="AZ110">
        <v>0</v>
      </c>
      <c r="BC110">
        <v>-425</v>
      </c>
      <c r="BE110" t="s">
        <v>114</v>
      </c>
      <c r="BH110">
        <v>-25</v>
      </c>
      <c r="BI110">
        <v>-2.0833333333333335</v>
      </c>
      <c r="BK110" t="s">
        <v>116</v>
      </c>
      <c r="BL110">
        <v>0</v>
      </c>
      <c r="BM110">
        <v>-450</v>
      </c>
      <c r="BR110">
        <v>0</v>
      </c>
      <c r="BS110">
        <v>0</v>
      </c>
      <c r="BW110" t="s">
        <v>167</v>
      </c>
      <c r="BX110" t="s">
        <v>168</v>
      </c>
      <c r="BZ110" t="s">
        <v>983</v>
      </c>
    </row>
    <row r="111" spans="1:78">
      <c r="A111" t="s">
        <v>285</v>
      </c>
      <c r="B111" t="s">
        <v>876</v>
      </c>
      <c r="C111" t="s">
        <v>54</v>
      </c>
      <c r="D111" t="s">
        <v>1</v>
      </c>
      <c r="E111" t="s">
        <v>115</v>
      </c>
      <c r="F111" t="s">
        <v>99</v>
      </c>
      <c r="G111" t="s">
        <v>100</v>
      </c>
      <c r="H111" t="s">
        <v>128</v>
      </c>
      <c r="I111" t="s">
        <v>100</v>
      </c>
      <c r="J111" t="s">
        <v>101</v>
      </c>
      <c r="K111" t="s">
        <v>559</v>
      </c>
      <c r="L111" t="s">
        <v>559</v>
      </c>
      <c r="M111" t="s">
        <v>100</v>
      </c>
      <c r="N111" t="s">
        <v>480</v>
      </c>
      <c r="O111" t="s">
        <v>100</v>
      </c>
      <c r="Q111" t="s">
        <v>480</v>
      </c>
      <c r="R111" t="s">
        <v>119</v>
      </c>
      <c r="S111" t="s">
        <v>130</v>
      </c>
      <c r="T111" t="s">
        <v>120</v>
      </c>
      <c r="U111" t="s">
        <v>101</v>
      </c>
      <c r="V111" t="s">
        <v>121</v>
      </c>
      <c r="W111" t="s">
        <v>122</v>
      </c>
      <c r="X111" t="s">
        <v>123</v>
      </c>
      <c r="Y111">
        <v>1</v>
      </c>
      <c r="Z111" t="s">
        <v>574</v>
      </c>
      <c r="AA111" s="280">
        <v>39503</v>
      </c>
      <c r="AB111" t="s">
        <v>114</v>
      </c>
      <c r="AC111" t="s">
        <v>124</v>
      </c>
      <c r="AD111" s="280">
        <v>44651</v>
      </c>
      <c r="AE111" t="s">
        <v>125</v>
      </c>
      <c r="AF111">
        <v>6</v>
      </c>
      <c r="AG111">
        <v>0</v>
      </c>
      <c r="AH111">
        <v>0</v>
      </c>
      <c r="AI111" t="s">
        <v>126</v>
      </c>
      <c r="AL111">
        <v>1</v>
      </c>
      <c r="AN111">
        <v>1</v>
      </c>
      <c r="AO111">
        <v>0</v>
      </c>
      <c r="AP111" t="s">
        <v>1050</v>
      </c>
      <c r="AR111" t="s">
        <v>127</v>
      </c>
      <c r="AS111">
        <v>850</v>
      </c>
      <c r="AU111">
        <v>0</v>
      </c>
      <c r="AV111">
        <v>0</v>
      </c>
      <c r="AW111">
        <v>0</v>
      </c>
      <c r="AX111">
        <v>850</v>
      </c>
      <c r="AY111">
        <v>47.222222222222172</v>
      </c>
      <c r="AZ111">
        <v>0</v>
      </c>
      <c r="BC111">
        <v>-802.77777777777783</v>
      </c>
      <c r="BE111" t="s">
        <v>114</v>
      </c>
      <c r="BH111">
        <v>-47.222222222222172</v>
      </c>
      <c r="BI111">
        <v>-3.9351851851851811</v>
      </c>
      <c r="BK111" t="s">
        <v>116</v>
      </c>
      <c r="BL111">
        <v>0</v>
      </c>
      <c r="BM111">
        <v>-850</v>
      </c>
      <c r="BR111">
        <v>0</v>
      </c>
      <c r="BS111">
        <v>0</v>
      </c>
      <c r="BW111" t="s">
        <v>167</v>
      </c>
      <c r="BX111" t="s">
        <v>168</v>
      </c>
      <c r="BZ111" t="s">
        <v>942</v>
      </c>
    </row>
    <row r="112" spans="1:78">
      <c r="A112" t="s">
        <v>286</v>
      </c>
      <c r="B112" t="s">
        <v>897</v>
      </c>
      <c r="C112" t="s">
        <v>54</v>
      </c>
      <c r="D112" t="s">
        <v>1</v>
      </c>
      <c r="E112" t="s">
        <v>115</v>
      </c>
      <c r="F112" t="s">
        <v>99</v>
      </c>
      <c r="G112" t="s">
        <v>100</v>
      </c>
      <c r="H112" t="s">
        <v>128</v>
      </c>
      <c r="I112" t="s">
        <v>100</v>
      </c>
      <c r="J112" t="s">
        <v>101</v>
      </c>
      <c r="K112" t="s">
        <v>559</v>
      </c>
      <c r="L112" t="s">
        <v>559</v>
      </c>
      <c r="M112" t="s">
        <v>100</v>
      </c>
      <c r="N112" t="s">
        <v>469</v>
      </c>
      <c r="O112" t="s">
        <v>100</v>
      </c>
      <c r="Q112" t="s">
        <v>469</v>
      </c>
      <c r="R112" t="s">
        <v>119</v>
      </c>
      <c r="S112" t="s">
        <v>130</v>
      </c>
      <c r="T112" t="s">
        <v>120</v>
      </c>
      <c r="U112" t="s">
        <v>101</v>
      </c>
      <c r="V112" t="s">
        <v>121</v>
      </c>
      <c r="W112" t="s">
        <v>122</v>
      </c>
      <c r="X112" t="s">
        <v>123</v>
      </c>
      <c r="Y112">
        <v>1</v>
      </c>
      <c r="Z112" t="s">
        <v>575</v>
      </c>
      <c r="AA112" s="280">
        <v>39259</v>
      </c>
      <c r="AB112" t="s">
        <v>114</v>
      </c>
      <c r="AC112" t="s">
        <v>124</v>
      </c>
      <c r="AD112" s="280">
        <v>44651</v>
      </c>
      <c r="AE112" t="s">
        <v>125</v>
      </c>
      <c r="AF112">
        <v>6</v>
      </c>
      <c r="AG112">
        <v>0</v>
      </c>
      <c r="AH112">
        <v>0</v>
      </c>
      <c r="AI112" t="s">
        <v>126</v>
      </c>
      <c r="AL112">
        <v>1</v>
      </c>
      <c r="AN112">
        <v>1</v>
      </c>
      <c r="AO112">
        <v>0</v>
      </c>
      <c r="AP112" t="s">
        <v>1051</v>
      </c>
      <c r="AR112" t="s">
        <v>127</v>
      </c>
      <c r="AS112">
        <v>3967.64</v>
      </c>
      <c r="AU112">
        <v>0</v>
      </c>
      <c r="AV112">
        <v>0</v>
      </c>
      <c r="AW112">
        <v>0</v>
      </c>
      <c r="AX112">
        <v>3967.64</v>
      </c>
      <c r="AY112">
        <v>220.42444444444436</v>
      </c>
      <c r="AZ112">
        <v>0</v>
      </c>
      <c r="BC112">
        <v>-3747.2155555555555</v>
      </c>
      <c r="BE112" t="s">
        <v>114</v>
      </c>
      <c r="BH112">
        <v>-220.42444444444436</v>
      </c>
      <c r="BI112">
        <v>-18.368703703703698</v>
      </c>
      <c r="BK112" t="s">
        <v>116</v>
      </c>
      <c r="BL112">
        <v>0</v>
      </c>
      <c r="BM112">
        <v>-3967.64</v>
      </c>
      <c r="BR112">
        <v>0</v>
      </c>
      <c r="BS112">
        <v>0</v>
      </c>
      <c r="BW112" t="s">
        <v>167</v>
      </c>
      <c r="BX112" t="s">
        <v>168</v>
      </c>
      <c r="BZ112" t="s">
        <v>982</v>
      </c>
    </row>
    <row r="113" spans="1:78">
      <c r="A113" t="s">
        <v>287</v>
      </c>
      <c r="B113" t="s">
        <v>859</v>
      </c>
      <c r="C113" t="s">
        <v>54</v>
      </c>
      <c r="D113" t="s">
        <v>1</v>
      </c>
      <c r="E113" t="s">
        <v>115</v>
      </c>
      <c r="F113" t="s">
        <v>99</v>
      </c>
      <c r="G113" t="s">
        <v>100</v>
      </c>
      <c r="H113" t="s">
        <v>128</v>
      </c>
      <c r="I113" t="s">
        <v>100</v>
      </c>
      <c r="J113" t="s">
        <v>101</v>
      </c>
      <c r="K113" t="s">
        <v>559</v>
      </c>
      <c r="L113" t="s">
        <v>559</v>
      </c>
      <c r="M113" t="s">
        <v>100</v>
      </c>
      <c r="N113" t="s">
        <v>469</v>
      </c>
      <c r="O113" t="s">
        <v>100</v>
      </c>
      <c r="Q113" t="s">
        <v>469</v>
      </c>
      <c r="R113" t="s">
        <v>119</v>
      </c>
      <c r="S113" t="s">
        <v>130</v>
      </c>
      <c r="T113" t="s">
        <v>120</v>
      </c>
      <c r="U113" t="s">
        <v>101</v>
      </c>
      <c r="V113" t="s">
        <v>121</v>
      </c>
      <c r="W113" t="s">
        <v>122</v>
      </c>
      <c r="X113" t="s">
        <v>123</v>
      </c>
      <c r="Y113">
        <v>1</v>
      </c>
      <c r="Z113" t="s">
        <v>575</v>
      </c>
      <c r="AA113" s="280">
        <v>39259</v>
      </c>
      <c r="AB113" t="s">
        <v>114</v>
      </c>
      <c r="AC113" t="s">
        <v>124</v>
      </c>
      <c r="AD113" s="280">
        <v>44651</v>
      </c>
      <c r="AE113" t="s">
        <v>125</v>
      </c>
      <c r="AF113">
        <v>6</v>
      </c>
      <c r="AG113">
        <v>0</v>
      </c>
      <c r="AH113">
        <v>0</v>
      </c>
      <c r="AI113" t="s">
        <v>126</v>
      </c>
      <c r="AL113">
        <v>1</v>
      </c>
      <c r="AN113">
        <v>1</v>
      </c>
      <c r="AO113">
        <v>0</v>
      </c>
      <c r="AP113" t="s">
        <v>1050</v>
      </c>
      <c r="AR113" t="s">
        <v>127</v>
      </c>
      <c r="AS113">
        <v>3967.64</v>
      </c>
      <c r="AU113">
        <v>0</v>
      </c>
      <c r="AV113">
        <v>0</v>
      </c>
      <c r="AW113">
        <v>0</v>
      </c>
      <c r="AX113">
        <v>3967.64</v>
      </c>
      <c r="AY113">
        <v>220.42444444444436</v>
      </c>
      <c r="AZ113">
        <v>0</v>
      </c>
      <c r="BC113">
        <v>-3747.2155555555555</v>
      </c>
      <c r="BE113" t="s">
        <v>114</v>
      </c>
      <c r="BH113">
        <v>-220.42444444444436</v>
      </c>
      <c r="BI113">
        <v>-18.368703703703698</v>
      </c>
      <c r="BK113" t="s">
        <v>116</v>
      </c>
      <c r="BL113">
        <v>0</v>
      </c>
      <c r="BM113">
        <v>-3967.64</v>
      </c>
      <c r="BR113">
        <v>0</v>
      </c>
      <c r="BS113">
        <v>0</v>
      </c>
      <c r="BW113" t="s">
        <v>167</v>
      </c>
      <c r="BX113" t="s">
        <v>168</v>
      </c>
      <c r="BZ113" t="s">
        <v>984</v>
      </c>
    </row>
    <row r="114" spans="1:78">
      <c r="A114" t="s">
        <v>288</v>
      </c>
      <c r="B114" t="s">
        <v>876</v>
      </c>
      <c r="C114" t="s">
        <v>54</v>
      </c>
      <c r="D114" t="s">
        <v>1</v>
      </c>
      <c r="E114" t="s">
        <v>115</v>
      </c>
      <c r="F114" t="s">
        <v>99</v>
      </c>
      <c r="G114" t="s">
        <v>100</v>
      </c>
      <c r="H114" t="s">
        <v>128</v>
      </c>
      <c r="I114" t="s">
        <v>100</v>
      </c>
      <c r="J114" t="s">
        <v>101</v>
      </c>
      <c r="K114" t="s">
        <v>559</v>
      </c>
      <c r="L114" t="s">
        <v>559</v>
      </c>
      <c r="M114" t="s">
        <v>100</v>
      </c>
      <c r="N114" t="s">
        <v>481</v>
      </c>
      <c r="O114" t="s">
        <v>100</v>
      </c>
      <c r="Q114" t="s">
        <v>481</v>
      </c>
      <c r="R114" t="s">
        <v>119</v>
      </c>
      <c r="S114" t="s">
        <v>130</v>
      </c>
      <c r="T114" t="s">
        <v>120</v>
      </c>
      <c r="U114" t="s">
        <v>101</v>
      </c>
      <c r="V114" t="s">
        <v>121</v>
      </c>
      <c r="W114" t="s">
        <v>122</v>
      </c>
      <c r="X114" t="s">
        <v>123</v>
      </c>
      <c r="Y114">
        <v>1</v>
      </c>
      <c r="Z114" t="s">
        <v>576</v>
      </c>
      <c r="AA114" s="280">
        <v>39430</v>
      </c>
      <c r="AB114" t="s">
        <v>114</v>
      </c>
      <c r="AC114" t="s">
        <v>124</v>
      </c>
      <c r="AD114" s="280">
        <v>44651</v>
      </c>
      <c r="AE114" t="s">
        <v>125</v>
      </c>
      <c r="AF114">
        <v>6</v>
      </c>
      <c r="AG114">
        <v>0</v>
      </c>
      <c r="AH114">
        <v>0</v>
      </c>
      <c r="AI114" t="s">
        <v>126</v>
      </c>
      <c r="AL114">
        <v>1</v>
      </c>
      <c r="AN114">
        <v>1</v>
      </c>
      <c r="AO114">
        <v>0</v>
      </c>
      <c r="AP114" t="s">
        <v>1050</v>
      </c>
      <c r="AR114" t="s">
        <v>127</v>
      </c>
      <c r="AS114">
        <v>17968.77</v>
      </c>
      <c r="AU114">
        <v>0</v>
      </c>
      <c r="AV114">
        <v>0</v>
      </c>
      <c r="AW114">
        <v>0</v>
      </c>
      <c r="AX114">
        <v>17968.77</v>
      </c>
      <c r="AY114">
        <v>998.26499999999942</v>
      </c>
      <c r="AZ114">
        <v>0</v>
      </c>
      <c r="BC114">
        <v>-16970.505000000001</v>
      </c>
      <c r="BE114" t="s">
        <v>114</v>
      </c>
      <c r="BH114">
        <v>-998.26499999999942</v>
      </c>
      <c r="BI114">
        <v>-83.188749999999956</v>
      </c>
      <c r="BK114" t="s">
        <v>116</v>
      </c>
      <c r="BL114">
        <v>0</v>
      </c>
      <c r="BM114">
        <v>-17968.77</v>
      </c>
      <c r="BR114">
        <v>0</v>
      </c>
      <c r="BS114">
        <v>0</v>
      </c>
      <c r="BW114" t="s">
        <v>167</v>
      </c>
      <c r="BX114" t="s">
        <v>168</v>
      </c>
      <c r="BZ114" t="s">
        <v>942</v>
      </c>
    </row>
    <row r="115" spans="1:78">
      <c r="A115" t="s">
        <v>289</v>
      </c>
      <c r="B115" t="s">
        <v>874</v>
      </c>
      <c r="C115" t="s">
        <v>54</v>
      </c>
      <c r="D115" t="s">
        <v>1</v>
      </c>
      <c r="E115" t="s">
        <v>115</v>
      </c>
      <c r="F115" t="s">
        <v>99</v>
      </c>
      <c r="G115" t="s">
        <v>100</v>
      </c>
      <c r="H115" t="s">
        <v>128</v>
      </c>
      <c r="I115" t="s">
        <v>100</v>
      </c>
      <c r="J115" t="s">
        <v>101</v>
      </c>
      <c r="K115" t="s">
        <v>559</v>
      </c>
      <c r="L115" t="s">
        <v>559</v>
      </c>
      <c r="M115" t="s">
        <v>100</v>
      </c>
      <c r="N115" t="s">
        <v>482</v>
      </c>
      <c r="O115" t="s">
        <v>100</v>
      </c>
      <c r="Q115" t="s">
        <v>482</v>
      </c>
      <c r="R115" t="s">
        <v>119</v>
      </c>
      <c r="S115" t="s">
        <v>130</v>
      </c>
      <c r="T115" t="s">
        <v>120</v>
      </c>
      <c r="U115" t="s">
        <v>101</v>
      </c>
      <c r="V115" t="s">
        <v>121</v>
      </c>
      <c r="W115" t="s">
        <v>122</v>
      </c>
      <c r="X115" t="s">
        <v>123</v>
      </c>
      <c r="Y115">
        <v>1</v>
      </c>
      <c r="Z115" t="s">
        <v>577</v>
      </c>
      <c r="AA115" s="280">
        <v>39596</v>
      </c>
      <c r="AB115" t="s">
        <v>114</v>
      </c>
      <c r="AC115" t="s">
        <v>124</v>
      </c>
      <c r="AD115" s="280">
        <v>44651</v>
      </c>
      <c r="AE115" t="s">
        <v>125</v>
      </c>
      <c r="AF115">
        <v>6</v>
      </c>
      <c r="AG115">
        <v>0</v>
      </c>
      <c r="AH115">
        <v>0</v>
      </c>
      <c r="AI115" t="s">
        <v>126</v>
      </c>
      <c r="AL115">
        <v>1</v>
      </c>
      <c r="AN115">
        <v>1</v>
      </c>
      <c r="AO115">
        <v>0</v>
      </c>
      <c r="AP115" t="s">
        <v>1050</v>
      </c>
      <c r="AR115" t="s">
        <v>127</v>
      </c>
      <c r="AS115">
        <v>3762</v>
      </c>
      <c r="AU115">
        <v>0</v>
      </c>
      <c r="AV115">
        <v>0</v>
      </c>
      <c r="AW115">
        <v>0</v>
      </c>
      <c r="AX115">
        <v>3762</v>
      </c>
      <c r="AY115">
        <v>209</v>
      </c>
      <c r="AZ115">
        <v>0</v>
      </c>
      <c r="BC115">
        <v>-3553</v>
      </c>
      <c r="BE115" t="s">
        <v>114</v>
      </c>
      <c r="BH115">
        <v>-209</v>
      </c>
      <c r="BI115">
        <v>-17.416666666666668</v>
      </c>
      <c r="BK115" t="s">
        <v>116</v>
      </c>
      <c r="BL115">
        <v>0</v>
      </c>
      <c r="BM115">
        <v>-3762</v>
      </c>
      <c r="BR115">
        <v>0</v>
      </c>
      <c r="BS115">
        <v>0</v>
      </c>
      <c r="BW115" t="s">
        <v>167</v>
      </c>
      <c r="BX115" t="s">
        <v>168</v>
      </c>
      <c r="BZ115" t="s">
        <v>976</v>
      </c>
    </row>
    <row r="116" spans="1:78">
      <c r="A116" t="s">
        <v>290</v>
      </c>
      <c r="B116" t="s">
        <v>863</v>
      </c>
      <c r="C116" t="s">
        <v>54</v>
      </c>
      <c r="D116" t="s">
        <v>1</v>
      </c>
      <c r="E116" t="s">
        <v>115</v>
      </c>
      <c r="F116" t="s">
        <v>99</v>
      </c>
      <c r="G116" t="s">
        <v>100</v>
      </c>
      <c r="H116" t="s">
        <v>128</v>
      </c>
      <c r="I116" t="s">
        <v>100</v>
      </c>
      <c r="J116" t="s">
        <v>101</v>
      </c>
      <c r="K116" t="s">
        <v>559</v>
      </c>
      <c r="L116" t="s">
        <v>559</v>
      </c>
      <c r="M116" t="s">
        <v>100</v>
      </c>
      <c r="N116" t="s">
        <v>483</v>
      </c>
      <c r="O116" t="s">
        <v>100</v>
      </c>
      <c r="Q116" t="s">
        <v>483</v>
      </c>
      <c r="R116" t="s">
        <v>119</v>
      </c>
      <c r="S116" t="s">
        <v>130</v>
      </c>
      <c r="T116" t="s">
        <v>120</v>
      </c>
      <c r="U116" t="s">
        <v>101</v>
      </c>
      <c r="V116" t="s">
        <v>121</v>
      </c>
      <c r="W116" t="s">
        <v>122</v>
      </c>
      <c r="X116" t="s">
        <v>123</v>
      </c>
      <c r="Y116">
        <v>1</v>
      </c>
      <c r="Z116" t="s">
        <v>578</v>
      </c>
      <c r="AA116" s="280">
        <v>39883</v>
      </c>
      <c r="AB116" t="s">
        <v>114</v>
      </c>
      <c r="AC116" t="s">
        <v>124</v>
      </c>
      <c r="AD116" s="280">
        <v>44651</v>
      </c>
      <c r="AE116" t="s">
        <v>125</v>
      </c>
      <c r="AF116">
        <v>6</v>
      </c>
      <c r="AG116">
        <v>0</v>
      </c>
      <c r="AH116">
        <v>0</v>
      </c>
      <c r="AI116" t="s">
        <v>126</v>
      </c>
      <c r="AL116">
        <v>1</v>
      </c>
      <c r="AN116">
        <v>1</v>
      </c>
      <c r="AO116">
        <v>0</v>
      </c>
      <c r="AP116" t="s">
        <v>1051</v>
      </c>
      <c r="AR116" t="s">
        <v>127</v>
      </c>
      <c r="AS116">
        <v>4446</v>
      </c>
      <c r="AU116">
        <v>0</v>
      </c>
      <c r="AV116">
        <v>0</v>
      </c>
      <c r="AW116">
        <v>0</v>
      </c>
      <c r="AX116">
        <v>4446</v>
      </c>
      <c r="AY116">
        <v>247</v>
      </c>
      <c r="AZ116">
        <v>0</v>
      </c>
      <c r="BC116">
        <v>-4199</v>
      </c>
      <c r="BE116" t="s">
        <v>114</v>
      </c>
      <c r="BH116">
        <v>-247</v>
      </c>
      <c r="BI116">
        <v>-20.583333333333332</v>
      </c>
      <c r="BK116" t="s">
        <v>116</v>
      </c>
      <c r="BL116">
        <v>0</v>
      </c>
      <c r="BM116">
        <v>-4446</v>
      </c>
      <c r="BR116">
        <v>0</v>
      </c>
      <c r="BS116">
        <v>0</v>
      </c>
      <c r="BW116" t="s">
        <v>167</v>
      </c>
      <c r="BX116" t="s">
        <v>168</v>
      </c>
      <c r="BZ116" t="s">
        <v>947</v>
      </c>
    </row>
    <row r="117" spans="1:78">
      <c r="A117" t="s">
        <v>291</v>
      </c>
      <c r="B117" t="s">
        <v>892</v>
      </c>
      <c r="C117" t="s">
        <v>54</v>
      </c>
      <c r="D117" t="s">
        <v>1</v>
      </c>
      <c r="E117" t="s">
        <v>115</v>
      </c>
      <c r="F117" t="s">
        <v>99</v>
      </c>
      <c r="G117" t="s">
        <v>100</v>
      </c>
      <c r="H117" t="s">
        <v>128</v>
      </c>
      <c r="I117" t="s">
        <v>100</v>
      </c>
      <c r="J117" t="s">
        <v>101</v>
      </c>
      <c r="K117" t="s">
        <v>559</v>
      </c>
      <c r="L117" t="s">
        <v>559</v>
      </c>
      <c r="M117" t="s">
        <v>100</v>
      </c>
      <c r="N117" t="s">
        <v>484</v>
      </c>
      <c r="O117" t="s">
        <v>100</v>
      </c>
      <c r="Q117" t="s">
        <v>484</v>
      </c>
      <c r="R117" t="s">
        <v>119</v>
      </c>
      <c r="S117" t="s">
        <v>130</v>
      </c>
      <c r="T117" t="s">
        <v>120</v>
      </c>
      <c r="U117" t="s">
        <v>101</v>
      </c>
      <c r="V117" t="s">
        <v>121</v>
      </c>
      <c r="W117" t="s">
        <v>122</v>
      </c>
      <c r="X117" t="s">
        <v>123</v>
      </c>
      <c r="Y117">
        <v>1</v>
      </c>
      <c r="Z117" t="s">
        <v>578</v>
      </c>
      <c r="AA117" s="280">
        <v>39883</v>
      </c>
      <c r="AB117" t="s">
        <v>114</v>
      </c>
      <c r="AC117" t="s">
        <v>124</v>
      </c>
      <c r="AD117" s="280">
        <v>44651</v>
      </c>
      <c r="AE117" t="s">
        <v>125</v>
      </c>
      <c r="AF117">
        <v>6</v>
      </c>
      <c r="AG117">
        <v>0</v>
      </c>
      <c r="AH117">
        <v>0</v>
      </c>
      <c r="AI117" t="s">
        <v>126</v>
      </c>
      <c r="AL117">
        <v>1</v>
      </c>
      <c r="AN117">
        <v>1</v>
      </c>
      <c r="AO117">
        <v>0</v>
      </c>
      <c r="AP117" t="s">
        <v>1050</v>
      </c>
      <c r="AR117" t="s">
        <v>127</v>
      </c>
      <c r="AS117">
        <v>9866.2199999999993</v>
      </c>
      <c r="AU117">
        <v>0</v>
      </c>
      <c r="AV117">
        <v>0</v>
      </c>
      <c r="AW117">
        <v>0</v>
      </c>
      <c r="AX117">
        <v>9866.2199999999993</v>
      </c>
      <c r="AY117">
        <v>548.12333333333481</v>
      </c>
      <c r="AZ117">
        <v>0</v>
      </c>
      <c r="BC117">
        <v>-9318.0966666666645</v>
      </c>
      <c r="BE117" t="s">
        <v>114</v>
      </c>
      <c r="BH117">
        <v>-548.12333333333481</v>
      </c>
      <c r="BI117">
        <v>-45.676944444444565</v>
      </c>
      <c r="BK117" t="s">
        <v>116</v>
      </c>
      <c r="BL117">
        <v>0</v>
      </c>
      <c r="BM117">
        <v>-9866.2199999999993</v>
      </c>
      <c r="BR117">
        <v>0</v>
      </c>
      <c r="BS117">
        <v>0</v>
      </c>
      <c r="BW117" t="s">
        <v>167</v>
      </c>
      <c r="BX117" t="s">
        <v>168</v>
      </c>
      <c r="BZ117" t="s">
        <v>980</v>
      </c>
    </row>
    <row r="118" spans="1:78">
      <c r="A118" t="s">
        <v>292</v>
      </c>
      <c r="B118" t="s">
        <v>865</v>
      </c>
      <c r="C118" t="s">
        <v>54</v>
      </c>
      <c r="D118" t="s">
        <v>1</v>
      </c>
      <c r="E118" t="s">
        <v>115</v>
      </c>
      <c r="F118" t="s">
        <v>99</v>
      </c>
      <c r="G118" t="s">
        <v>100</v>
      </c>
      <c r="H118" t="s">
        <v>128</v>
      </c>
      <c r="I118" t="s">
        <v>100</v>
      </c>
      <c r="J118" t="s">
        <v>101</v>
      </c>
      <c r="K118" t="s">
        <v>559</v>
      </c>
      <c r="L118" t="s">
        <v>559</v>
      </c>
      <c r="M118" t="s">
        <v>100</v>
      </c>
      <c r="N118" t="s">
        <v>485</v>
      </c>
      <c r="O118" t="s">
        <v>100</v>
      </c>
      <c r="Q118" t="s">
        <v>485</v>
      </c>
      <c r="R118" t="s">
        <v>119</v>
      </c>
      <c r="S118" t="s">
        <v>130</v>
      </c>
      <c r="T118" t="s">
        <v>120</v>
      </c>
      <c r="U118" t="s">
        <v>101</v>
      </c>
      <c r="V118" t="s">
        <v>121</v>
      </c>
      <c r="W118" t="s">
        <v>122</v>
      </c>
      <c r="X118" t="s">
        <v>123</v>
      </c>
      <c r="Y118">
        <v>1</v>
      </c>
      <c r="Z118" t="s">
        <v>578</v>
      </c>
      <c r="AA118" s="280">
        <v>39883</v>
      </c>
      <c r="AB118" t="s">
        <v>114</v>
      </c>
      <c r="AC118" t="s">
        <v>124</v>
      </c>
      <c r="AD118" s="280">
        <v>44651</v>
      </c>
      <c r="AE118" t="s">
        <v>125</v>
      </c>
      <c r="AF118">
        <v>6</v>
      </c>
      <c r="AG118">
        <v>0</v>
      </c>
      <c r="AH118">
        <v>0</v>
      </c>
      <c r="AI118" t="s">
        <v>126</v>
      </c>
      <c r="AL118">
        <v>1</v>
      </c>
      <c r="AN118">
        <v>1</v>
      </c>
      <c r="AO118">
        <v>0</v>
      </c>
      <c r="AP118" t="s">
        <v>1050</v>
      </c>
      <c r="AR118" t="s">
        <v>127</v>
      </c>
      <c r="AS118">
        <v>615.6</v>
      </c>
      <c r="AU118">
        <v>0</v>
      </c>
      <c r="AV118">
        <v>0</v>
      </c>
      <c r="AW118">
        <v>0</v>
      </c>
      <c r="AX118">
        <v>615.6</v>
      </c>
      <c r="AY118">
        <v>34.199999999999932</v>
      </c>
      <c r="AZ118">
        <v>0</v>
      </c>
      <c r="BC118">
        <v>-581.40000000000009</v>
      </c>
      <c r="BE118" t="s">
        <v>114</v>
      </c>
      <c r="BH118">
        <v>-34.199999999999932</v>
      </c>
      <c r="BI118">
        <v>-2.8499999999999943</v>
      </c>
      <c r="BK118" t="s">
        <v>116</v>
      </c>
      <c r="BL118">
        <v>0</v>
      </c>
      <c r="BM118">
        <v>-615.6</v>
      </c>
      <c r="BR118">
        <v>0</v>
      </c>
      <c r="BS118">
        <v>0</v>
      </c>
      <c r="BW118" t="s">
        <v>167</v>
      </c>
      <c r="BX118" t="s">
        <v>168</v>
      </c>
      <c r="BZ118" t="s">
        <v>938</v>
      </c>
    </row>
    <row r="119" spans="1:78">
      <c r="A119" t="s">
        <v>293</v>
      </c>
      <c r="B119" t="s">
        <v>875</v>
      </c>
      <c r="C119" t="s">
        <v>54</v>
      </c>
      <c r="D119" t="s">
        <v>1</v>
      </c>
      <c r="E119" t="s">
        <v>115</v>
      </c>
      <c r="F119" t="s">
        <v>99</v>
      </c>
      <c r="G119" t="s">
        <v>100</v>
      </c>
      <c r="H119" t="s">
        <v>128</v>
      </c>
      <c r="I119" t="s">
        <v>100</v>
      </c>
      <c r="J119" t="s">
        <v>101</v>
      </c>
      <c r="K119" t="s">
        <v>559</v>
      </c>
      <c r="L119" t="s">
        <v>559</v>
      </c>
      <c r="M119" t="s">
        <v>100</v>
      </c>
      <c r="N119" t="s">
        <v>486</v>
      </c>
      <c r="O119" t="s">
        <v>100</v>
      </c>
      <c r="Q119" t="s">
        <v>486</v>
      </c>
      <c r="R119" t="s">
        <v>119</v>
      </c>
      <c r="S119" t="s">
        <v>130</v>
      </c>
      <c r="T119" t="s">
        <v>120</v>
      </c>
      <c r="U119" t="s">
        <v>101</v>
      </c>
      <c r="V119" t="s">
        <v>121</v>
      </c>
      <c r="W119" t="s">
        <v>122</v>
      </c>
      <c r="X119" t="s">
        <v>123</v>
      </c>
      <c r="Y119">
        <v>1</v>
      </c>
      <c r="Z119" t="s">
        <v>578</v>
      </c>
      <c r="AA119" s="280">
        <v>39883</v>
      </c>
      <c r="AB119" t="s">
        <v>114</v>
      </c>
      <c r="AC119" t="s">
        <v>124</v>
      </c>
      <c r="AD119" s="280">
        <v>44651</v>
      </c>
      <c r="AE119" t="s">
        <v>125</v>
      </c>
      <c r="AF119">
        <v>6</v>
      </c>
      <c r="AG119">
        <v>0</v>
      </c>
      <c r="AH119">
        <v>0</v>
      </c>
      <c r="AI119" t="s">
        <v>126</v>
      </c>
      <c r="AL119">
        <v>1</v>
      </c>
      <c r="AN119">
        <v>1</v>
      </c>
      <c r="AO119">
        <v>0</v>
      </c>
      <c r="AP119" t="s">
        <v>1050</v>
      </c>
      <c r="AR119" t="s">
        <v>127</v>
      </c>
      <c r="AS119">
        <v>19722</v>
      </c>
      <c r="AU119">
        <v>0</v>
      </c>
      <c r="AV119">
        <v>0</v>
      </c>
      <c r="AW119">
        <v>0</v>
      </c>
      <c r="AX119">
        <v>19722</v>
      </c>
      <c r="AY119">
        <v>1095.6666666666642</v>
      </c>
      <c r="AZ119">
        <v>0</v>
      </c>
      <c r="BC119">
        <v>-18626.333333333336</v>
      </c>
      <c r="BE119" t="s">
        <v>114</v>
      </c>
      <c r="BH119">
        <v>-1095.6666666666642</v>
      </c>
      <c r="BI119">
        <v>-91.305555555555358</v>
      </c>
      <c r="BK119" t="s">
        <v>116</v>
      </c>
      <c r="BL119">
        <v>0</v>
      </c>
      <c r="BM119">
        <v>-19722</v>
      </c>
      <c r="BR119">
        <v>0</v>
      </c>
      <c r="BS119">
        <v>0</v>
      </c>
      <c r="BW119" t="s">
        <v>167</v>
      </c>
      <c r="BX119" t="s">
        <v>168</v>
      </c>
      <c r="BZ119" t="s">
        <v>940</v>
      </c>
    </row>
    <row r="120" spans="1:78">
      <c r="A120" t="s">
        <v>294</v>
      </c>
      <c r="B120" t="s">
        <v>898</v>
      </c>
      <c r="C120" t="s">
        <v>54</v>
      </c>
      <c r="D120" t="s">
        <v>1</v>
      </c>
      <c r="E120" t="s">
        <v>115</v>
      </c>
      <c r="F120" t="s">
        <v>99</v>
      </c>
      <c r="G120" t="s">
        <v>100</v>
      </c>
      <c r="H120" t="s">
        <v>128</v>
      </c>
      <c r="I120" t="s">
        <v>100</v>
      </c>
      <c r="J120" t="s">
        <v>101</v>
      </c>
      <c r="K120" t="s">
        <v>559</v>
      </c>
      <c r="L120" t="s">
        <v>559</v>
      </c>
      <c r="M120" t="s">
        <v>100</v>
      </c>
      <c r="N120" t="s">
        <v>486</v>
      </c>
      <c r="O120" t="s">
        <v>100</v>
      </c>
      <c r="Q120" t="s">
        <v>486</v>
      </c>
      <c r="R120" t="s">
        <v>119</v>
      </c>
      <c r="S120" t="s">
        <v>130</v>
      </c>
      <c r="T120" t="s">
        <v>120</v>
      </c>
      <c r="U120" t="s">
        <v>101</v>
      </c>
      <c r="V120" t="s">
        <v>121</v>
      </c>
      <c r="W120" t="s">
        <v>122</v>
      </c>
      <c r="X120" t="s">
        <v>123</v>
      </c>
      <c r="Y120">
        <v>1</v>
      </c>
      <c r="Z120" t="s">
        <v>578</v>
      </c>
      <c r="AA120" s="280">
        <v>39883</v>
      </c>
      <c r="AB120" t="s">
        <v>114</v>
      </c>
      <c r="AC120" t="s">
        <v>124</v>
      </c>
      <c r="AD120" s="280">
        <v>44651</v>
      </c>
      <c r="AE120" t="s">
        <v>125</v>
      </c>
      <c r="AF120">
        <v>6</v>
      </c>
      <c r="AG120">
        <v>0</v>
      </c>
      <c r="AH120">
        <v>0</v>
      </c>
      <c r="AI120" t="s">
        <v>126</v>
      </c>
      <c r="AL120">
        <v>1</v>
      </c>
      <c r="AN120">
        <v>1</v>
      </c>
      <c r="AO120">
        <v>0</v>
      </c>
      <c r="AP120" t="s">
        <v>1050</v>
      </c>
      <c r="AR120" t="s">
        <v>127</v>
      </c>
      <c r="AS120">
        <v>25665.88</v>
      </c>
      <c r="AU120">
        <v>0</v>
      </c>
      <c r="AV120">
        <v>0</v>
      </c>
      <c r="AW120">
        <v>0</v>
      </c>
      <c r="AX120">
        <v>25665.88</v>
      </c>
      <c r="AY120">
        <v>1425.8822222222225</v>
      </c>
      <c r="AZ120">
        <v>0</v>
      </c>
      <c r="BC120">
        <v>-24239.997777777779</v>
      </c>
      <c r="BE120" t="s">
        <v>114</v>
      </c>
      <c r="BH120">
        <v>-1425.8822222222225</v>
      </c>
      <c r="BI120">
        <v>-118.82351851851854</v>
      </c>
      <c r="BK120" t="s">
        <v>116</v>
      </c>
      <c r="BL120">
        <v>0</v>
      </c>
      <c r="BM120">
        <v>-25665.88</v>
      </c>
      <c r="BR120">
        <v>0</v>
      </c>
      <c r="BS120">
        <v>0</v>
      </c>
      <c r="BW120" t="s">
        <v>167</v>
      </c>
      <c r="BX120" t="s">
        <v>168</v>
      </c>
      <c r="BZ120" t="s">
        <v>985</v>
      </c>
    </row>
    <row r="121" spans="1:78">
      <c r="A121" t="s">
        <v>295</v>
      </c>
      <c r="B121" t="s">
        <v>859</v>
      </c>
      <c r="C121" t="s">
        <v>54</v>
      </c>
      <c r="D121" t="s">
        <v>1</v>
      </c>
      <c r="E121" t="s">
        <v>115</v>
      </c>
      <c r="F121" t="s">
        <v>99</v>
      </c>
      <c r="G121" t="s">
        <v>100</v>
      </c>
      <c r="H121" t="s">
        <v>128</v>
      </c>
      <c r="I121" t="s">
        <v>100</v>
      </c>
      <c r="J121" t="s">
        <v>101</v>
      </c>
      <c r="K121" t="s">
        <v>559</v>
      </c>
      <c r="L121" t="s">
        <v>559</v>
      </c>
      <c r="M121" t="s">
        <v>100</v>
      </c>
      <c r="N121" t="s">
        <v>487</v>
      </c>
      <c r="O121" t="s">
        <v>100</v>
      </c>
      <c r="Q121" t="s">
        <v>487</v>
      </c>
      <c r="R121" t="s">
        <v>119</v>
      </c>
      <c r="S121" t="s">
        <v>130</v>
      </c>
      <c r="T121" t="s">
        <v>120</v>
      </c>
      <c r="U121" t="s">
        <v>101</v>
      </c>
      <c r="V121" t="s">
        <v>121</v>
      </c>
      <c r="W121" t="s">
        <v>122</v>
      </c>
      <c r="X121" t="s">
        <v>123</v>
      </c>
      <c r="Y121">
        <v>1</v>
      </c>
      <c r="Z121" t="s">
        <v>576</v>
      </c>
      <c r="AA121" s="280">
        <v>39430</v>
      </c>
      <c r="AB121" t="s">
        <v>114</v>
      </c>
      <c r="AC121" t="s">
        <v>124</v>
      </c>
      <c r="AD121" s="280">
        <v>44651</v>
      </c>
      <c r="AE121" t="s">
        <v>125</v>
      </c>
      <c r="AF121">
        <v>6</v>
      </c>
      <c r="AG121">
        <v>0</v>
      </c>
      <c r="AH121">
        <v>0</v>
      </c>
      <c r="AI121" t="s">
        <v>126</v>
      </c>
      <c r="AL121">
        <v>1</v>
      </c>
      <c r="AN121">
        <v>1</v>
      </c>
      <c r="AO121">
        <v>0</v>
      </c>
      <c r="AP121" t="s">
        <v>1050</v>
      </c>
      <c r="AR121" t="s">
        <v>127</v>
      </c>
      <c r="AS121">
        <v>17968.77</v>
      </c>
      <c r="AU121">
        <v>0</v>
      </c>
      <c r="AV121">
        <v>0</v>
      </c>
      <c r="AW121">
        <v>0</v>
      </c>
      <c r="AX121">
        <v>17968.77</v>
      </c>
      <c r="AY121">
        <v>998.26499999999942</v>
      </c>
      <c r="AZ121">
        <v>0</v>
      </c>
      <c r="BC121">
        <v>-16970.505000000001</v>
      </c>
      <c r="BE121" t="s">
        <v>114</v>
      </c>
      <c r="BH121">
        <v>-998.26499999999942</v>
      </c>
      <c r="BI121">
        <v>-83.188749999999956</v>
      </c>
      <c r="BK121" t="s">
        <v>116</v>
      </c>
      <c r="BL121">
        <v>0</v>
      </c>
      <c r="BM121">
        <v>-17968.77</v>
      </c>
      <c r="BR121">
        <v>0</v>
      </c>
      <c r="BS121">
        <v>0</v>
      </c>
      <c r="BW121" t="s">
        <v>167</v>
      </c>
      <c r="BX121" t="s">
        <v>168</v>
      </c>
      <c r="BZ121" t="s">
        <v>986</v>
      </c>
    </row>
    <row r="122" spans="1:78">
      <c r="A122" t="s">
        <v>296</v>
      </c>
      <c r="B122" t="s">
        <v>892</v>
      </c>
      <c r="C122" t="s">
        <v>54</v>
      </c>
      <c r="D122" t="s">
        <v>1</v>
      </c>
      <c r="E122" t="s">
        <v>115</v>
      </c>
      <c r="F122" t="s">
        <v>99</v>
      </c>
      <c r="G122" t="s">
        <v>100</v>
      </c>
      <c r="H122" t="s">
        <v>128</v>
      </c>
      <c r="I122" t="s">
        <v>100</v>
      </c>
      <c r="J122" t="s">
        <v>101</v>
      </c>
      <c r="K122" t="s">
        <v>559</v>
      </c>
      <c r="L122" t="s">
        <v>559</v>
      </c>
      <c r="M122" t="s">
        <v>100</v>
      </c>
      <c r="N122" t="s">
        <v>488</v>
      </c>
      <c r="O122" t="s">
        <v>100</v>
      </c>
      <c r="Q122" t="s">
        <v>488</v>
      </c>
      <c r="R122" t="s">
        <v>119</v>
      </c>
      <c r="S122" t="s">
        <v>130</v>
      </c>
      <c r="T122" t="s">
        <v>120</v>
      </c>
      <c r="U122" t="s">
        <v>101</v>
      </c>
      <c r="V122" t="s">
        <v>121</v>
      </c>
      <c r="W122" t="s">
        <v>122</v>
      </c>
      <c r="X122" t="s">
        <v>123</v>
      </c>
      <c r="Y122">
        <v>1</v>
      </c>
      <c r="Z122" t="s">
        <v>579</v>
      </c>
      <c r="AA122" s="280">
        <v>40025</v>
      </c>
      <c r="AB122" t="s">
        <v>114</v>
      </c>
      <c r="AC122" t="s">
        <v>124</v>
      </c>
      <c r="AD122" s="280">
        <v>44651</v>
      </c>
      <c r="AE122" t="s">
        <v>125</v>
      </c>
      <c r="AF122">
        <v>6</v>
      </c>
      <c r="AG122">
        <v>0</v>
      </c>
      <c r="AH122">
        <v>0</v>
      </c>
      <c r="AI122" t="s">
        <v>126</v>
      </c>
      <c r="AL122">
        <v>1</v>
      </c>
      <c r="AN122">
        <v>1</v>
      </c>
      <c r="AO122">
        <v>0</v>
      </c>
      <c r="AP122" t="s">
        <v>1050</v>
      </c>
      <c r="AR122" t="s">
        <v>127</v>
      </c>
      <c r="AS122">
        <v>12510.4</v>
      </c>
      <c r="AU122">
        <v>0</v>
      </c>
      <c r="AV122">
        <v>0</v>
      </c>
      <c r="AW122">
        <v>0</v>
      </c>
      <c r="AX122">
        <v>12510.4</v>
      </c>
      <c r="AY122">
        <v>695.02222222222372</v>
      </c>
      <c r="AZ122">
        <v>0</v>
      </c>
      <c r="BC122">
        <v>-11815.377777777776</v>
      </c>
      <c r="BE122" t="s">
        <v>114</v>
      </c>
      <c r="BH122">
        <v>-695.02222222222372</v>
      </c>
      <c r="BI122">
        <v>-57.918518518518646</v>
      </c>
      <c r="BK122" t="s">
        <v>116</v>
      </c>
      <c r="BL122">
        <v>0</v>
      </c>
      <c r="BM122">
        <v>-12510.4</v>
      </c>
      <c r="BR122">
        <v>0</v>
      </c>
      <c r="BS122">
        <v>0</v>
      </c>
      <c r="BW122" t="s">
        <v>167</v>
      </c>
      <c r="BX122" t="s">
        <v>168</v>
      </c>
      <c r="BZ122" t="s">
        <v>980</v>
      </c>
    </row>
    <row r="123" spans="1:78">
      <c r="A123" t="s">
        <v>297</v>
      </c>
      <c r="B123" t="s">
        <v>867</v>
      </c>
      <c r="C123" t="s">
        <v>54</v>
      </c>
      <c r="D123" t="s">
        <v>1</v>
      </c>
      <c r="E123" t="s">
        <v>115</v>
      </c>
      <c r="F123" t="s">
        <v>99</v>
      </c>
      <c r="G123" t="s">
        <v>100</v>
      </c>
      <c r="H123" t="s">
        <v>128</v>
      </c>
      <c r="I123" t="s">
        <v>100</v>
      </c>
      <c r="J123" t="s">
        <v>101</v>
      </c>
      <c r="K123" t="s">
        <v>559</v>
      </c>
      <c r="L123" t="s">
        <v>559</v>
      </c>
      <c r="M123" t="s">
        <v>100</v>
      </c>
      <c r="N123" t="s">
        <v>489</v>
      </c>
      <c r="O123" t="s">
        <v>100</v>
      </c>
      <c r="Q123" t="s">
        <v>489</v>
      </c>
      <c r="R123" t="s">
        <v>119</v>
      </c>
      <c r="S123" t="s">
        <v>130</v>
      </c>
      <c r="T123" t="s">
        <v>120</v>
      </c>
      <c r="U123" t="s">
        <v>101</v>
      </c>
      <c r="V123" t="s">
        <v>121</v>
      </c>
      <c r="W123" t="s">
        <v>122</v>
      </c>
      <c r="X123" t="s">
        <v>123</v>
      </c>
      <c r="Y123">
        <v>1</v>
      </c>
      <c r="Z123" t="s">
        <v>579</v>
      </c>
      <c r="AA123" s="280">
        <v>40025</v>
      </c>
      <c r="AB123" t="s">
        <v>114</v>
      </c>
      <c r="AC123" t="s">
        <v>124</v>
      </c>
      <c r="AD123" s="280">
        <v>44651</v>
      </c>
      <c r="AE123" t="s">
        <v>125</v>
      </c>
      <c r="AF123">
        <v>6</v>
      </c>
      <c r="AG123">
        <v>0</v>
      </c>
      <c r="AH123">
        <v>0</v>
      </c>
      <c r="AI123" t="s">
        <v>126</v>
      </c>
      <c r="AL123">
        <v>1</v>
      </c>
      <c r="AN123">
        <v>1</v>
      </c>
      <c r="AO123">
        <v>0</v>
      </c>
      <c r="AP123" t="s">
        <v>1051</v>
      </c>
      <c r="AR123" t="s">
        <v>127</v>
      </c>
      <c r="AS123">
        <v>7011</v>
      </c>
      <c r="AU123">
        <v>0</v>
      </c>
      <c r="AV123">
        <v>0</v>
      </c>
      <c r="AW123">
        <v>0</v>
      </c>
      <c r="AX123">
        <v>7011</v>
      </c>
      <c r="AY123">
        <v>389.5</v>
      </c>
      <c r="AZ123">
        <v>0</v>
      </c>
      <c r="BC123">
        <v>-6621.5</v>
      </c>
      <c r="BE123" t="s">
        <v>114</v>
      </c>
      <c r="BH123">
        <v>-389.5</v>
      </c>
      <c r="BI123">
        <v>-32.458333333333336</v>
      </c>
      <c r="BK123" t="s">
        <v>116</v>
      </c>
      <c r="BL123">
        <v>0</v>
      </c>
      <c r="BM123">
        <v>-7011</v>
      </c>
      <c r="BR123">
        <v>0</v>
      </c>
      <c r="BS123">
        <v>0</v>
      </c>
      <c r="BW123" t="s">
        <v>167</v>
      </c>
      <c r="BX123" t="s">
        <v>168</v>
      </c>
      <c r="BZ123" t="s">
        <v>951</v>
      </c>
    </row>
    <row r="124" spans="1:78">
      <c r="A124" t="s">
        <v>298</v>
      </c>
      <c r="B124" t="s">
        <v>860</v>
      </c>
      <c r="C124" t="s">
        <v>54</v>
      </c>
      <c r="D124" t="s">
        <v>1</v>
      </c>
      <c r="E124" t="s">
        <v>115</v>
      </c>
      <c r="F124" t="s">
        <v>99</v>
      </c>
      <c r="G124" t="s">
        <v>100</v>
      </c>
      <c r="H124" t="s">
        <v>128</v>
      </c>
      <c r="I124" t="s">
        <v>100</v>
      </c>
      <c r="J124" t="s">
        <v>101</v>
      </c>
      <c r="K124" t="s">
        <v>559</v>
      </c>
      <c r="L124" t="s">
        <v>559</v>
      </c>
      <c r="M124" t="s">
        <v>100</v>
      </c>
      <c r="N124" t="s">
        <v>490</v>
      </c>
      <c r="O124" t="s">
        <v>100</v>
      </c>
      <c r="Q124" t="s">
        <v>490</v>
      </c>
      <c r="R124" t="s">
        <v>119</v>
      </c>
      <c r="S124" t="s">
        <v>130</v>
      </c>
      <c r="T124" t="s">
        <v>120</v>
      </c>
      <c r="U124" t="s">
        <v>101</v>
      </c>
      <c r="V124" t="s">
        <v>121</v>
      </c>
      <c r="W124" t="s">
        <v>122</v>
      </c>
      <c r="X124" t="s">
        <v>123</v>
      </c>
      <c r="Y124">
        <v>1</v>
      </c>
      <c r="Z124" t="s">
        <v>579</v>
      </c>
      <c r="AA124" s="280">
        <v>40025</v>
      </c>
      <c r="AB124" t="s">
        <v>114</v>
      </c>
      <c r="AC124" t="s">
        <v>124</v>
      </c>
      <c r="AD124" s="280">
        <v>44651</v>
      </c>
      <c r="AE124" t="s">
        <v>125</v>
      </c>
      <c r="AF124">
        <v>6</v>
      </c>
      <c r="AG124">
        <v>0</v>
      </c>
      <c r="AH124">
        <v>0</v>
      </c>
      <c r="AI124" t="s">
        <v>126</v>
      </c>
      <c r="AL124">
        <v>1</v>
      </c>
      <c r="AN124">
        <v>1</v>
      </c>
      <c r="AO124">
        <v>0</v>
      </c>
      <c r="AP124" t="s">
        <v>1050</v>
      </c>
      <c r="AR124" t="s">
        <v>127</v>
      </c>
      <c r="AS124">
        <v>8892</v>
      </c>
      <c r="AU124">
        <v>0</v>
      </c>
      <c r="AV124">
        <v>0</v>
      </c>
      <c r="AW124">
        <v>0</v>
      </c>
      <c r="AX124">
        <v>8892</v>
      </c>
      <c r="AY124">
        <v>494</v>
      </c>
      <c r="AZ124">
        <v>0</v>
      </c>
      <c r="BC124">
        <v>-8398</v>
      </c>
      <c r="BE124" t="s">
        <v>114</v>
      </c>
      <c r="BH124">
        <v>-494</v>
      </c>
      <c r="BI124">
        <v>-41.166666666666664</v>
      </c>
      <c r="BK124" t="s">
        <v>116</v>
      </c>
      <c r="BL124">
        <v>0</v>
      </c>
      <c r="BM124">
        <v>-8892</v>
      </c>
      <c r="BR124">
        <v>0</v>
      </c>
      <c r="BS124">
        <v>0</v>
      </c>
      <c r="BW124" t="s">
        <v>167</v>
      </c>
      <c r="BX124" t="s">
        <v>168</v>
      </c>
      <c r="BZ124" t="s">
        <v>945</v>
      </c>
    </row>
    <row r="125" spans="1:78">
      <c r="A125" t="s">
        <v>299</v>
      </c>
      <c r="B125">
        <v>0</v>
      </c>
      <c r="C125" t="s">
        <v>54</v>
      </c>
      <c r="D125" t="s">
        <v>1</v>
      </c>
      <c r="E125" t="s">
        <v>115</v>
      </c>
      <c r="F125" t="s">
        <v>99</v>
      </c>
      <c r="G125" t="s">
        <v>100</v>
      </c>
      <c r="H125" t="s">
        <v>128</v>
      </c>
      <c r="I125" t="s">
        <v>100</v>
      </c>
      <c r="J125" t="s">
        <v>101</v>
      </c>
      <c r="K125" t="s">
        <v>559</v>
      </c>
      <c r="L125" t="s">
        <v>559</v>
      </c>
      <c r="M125" t="s">
        <v>100</v>
      </c>
      <c r="N125" t="s">
        <v>491</v>
      </c>
      <c r="O125" t="s">
        <v>100</v>
      </c>
      <c r="Q125" t="s">
        <v>491</v>
      </c>
      <c r="R125" t="s">
        <v>119</v>
      </c>
      <c r="S125" t="s">
        <v>130</v>
      </c>
      <c r="T125" t="s">
        <v>120</v>
      </c>
      <c r="U125" t="s">
        <v>101</v>
      </c>
      <c r="V125" t="s">
        <v>121</v>
      </c>
      <c r="W125" t="s">
        <v>122</v>
      </c>
      <c r="X125" t="s">
        <v>123</v>
      </c>
      <c r="Y125">
        <v>1</v>
      </c>
      <c r="Z125" t="s">
        <v>579</v>
      </c>
      <c r="AA125" s="280">
        <v>40025</v>
      </c>
      <c r="AB125" t="s">
        <v>114</v>
      </c>
      <c r="AC125" t="s">
        <v>124</v>
      </c>
      <c r="AD125" s="280">
        <v>44651</v>
      </c>
      <c r="AE125" t="s">
        <v>125</v>
      </c>
      <c r="AF125">
        <v>6</v>
      </c>
      <c r="AG125">
        <v>0</v>
      </c>
      <c r="AH125">
        <v>0</v>
      </c>
      <c r="AI125" t="s">
        <v>126</v>
      </c>
      <c r="AL125">
        <v>1</v>
      </c>
      <c r="AN125">
        <v>1</v>
      </c>
      <c r="AO125">
        <v>0</v>
      </c>
      <c r="AP125">
        <v>0</v>
      </c>
      <c r="AR125" t="s">
        <v>127</v>
      </c>
      <c r="AS125">
        <v>7660.8</v>
      </c>
      <c r="AU125">
        <v>0</v>
      </c>
      <c r="AV125">
        <v>0</v>
      </c>
      <c r="AW125">
        <v>0</v>
      </c>
      <c r="AX125">
        <v>7660.8</v>
      </c>
      <c r="AY125">
        <v>425.59999999999945</v>
      </c>
      <c r="AZ125">
        <v>0</v>
      </c>
      <c r="BC125">
        <v>-7235.2000000000007</v>
      </c>
      <c r="BE125" t="s">
        <v>114</v>
      </c>
      <c r="BH125">
        <v>-425.59999999999945</v>
      </c>
      <c r="BI125">
        <v>-35.466666666666619</v>
      </c>
      <c r="BK125" t="s">
        <v>116</v>
      </c>
      <c r="BL125">
        <v>0</v>
      </c>
      <c r="BM125">
        <v>-7660.8</v>
      </c>
      <c r="BR125">
        <v>0</v>
      </c>
      <c r="BS125">
        <v>0</v>
      </c>
      <c r="BW125" t="s">
        <v>167</v>
      </c>
      <c r="BX125" t="s">
        <v>168</v>
      </c>
      <c r="BZ125">
        <v>0</v>
      </c>
    </row>
    <row r="126" spans="1:78">
      <c r="A126" t="s">
        <v>300</v>
      </c>
      <c r="B126" t="s">
        <v>872</v>
      </c>
      <c r="C126" t="s">
        <v>54</v>
      </c>
      <c r="D126" t="s">
        <v>1</v>
      </c>
      <c r="E126" t="s">
        <v>115</v>
      </c>
      <c r="F126" t="s">
        <v>99</v>
      </c>
      <c r="G126" t="s">
        <v>100</v>
      </c>
      <c r="H126" t="s">
        <v>128</v>
      </c>
      <c r="I126" t="s">
        <v>100</v>
      </c>
      <c r="J126" t="s">
        <v>101</v>
      </c>
      <c r="K126" t="s">
        <v>559</v>
      </c>
      <c r="L126" t="s">
        <v>559</v>
      </c>
      <c r="M126" t="s">
        <v>100</v>
      </c>
      <c r="N126" t="s">
        <v>492</v>
      </c>
      <c r="O126" t="s">
        <v>100</v>
      </c>
      <c r="Q126" t="s">
        <v>492</v>
      </c>
      <c r="R126" t="s">
        <v>119</v>
      </c>
      <c r="S126" t="s">
        <v>130</v>
      </c>
      <c r="T126" t="s">
        <v>120</v>
      </c>
      <c r="U126" t="s">
        <v>101</v>
      </c>
      <c r="V126" t="s">
        <v>121</v>
      </c>
      <c r="W126" t="s">
        <v>122</v>
      </c>
      <c r="X126" t="s">
        <v>123</v>
      </c>
      <c r="Y126">
        <v>1</v>
      </c>
      <c r="Z126" t="s">
        <v>579</v>
      </c>
      <c r="AA126" s="280">
        <v>40025</v>
      </c>
      <c r="AB126" t="s">
        <v>114</v>
      </c>
      <c r="AC126" t="s">
        <v>124</v>
      </c>
      <c r="AD126" s="280">
        <v>44651</v>
      </c>
      <c r="AE126" t="s">
        <v>125</v>
      </c>
      <c r="AF126">
        <v>6</v>
      </c>
      <c r="AG126">
        <v>0</v>
      </c>
      <c r="AH126">
        <v>0</v>
      </c>
      <c r="AI126" t="s">
        <v>126</v>
      </c>
      <c r="AL126">
        <v>1</v>
      </c>
      <c r="AN126">
        <v>1</v>
      </c>
      <c r="AO126">
        <v>0</v>
      </c>
      <c r="AP126" t="s">
        <v>1050</v>
      </c>
      <c r="AR126" t="s">
        <v>127</v>
      </c>
      <c r="AS126">
        <v>8550</v>
      </c>
      <c r="AU126">
        <v>0</v>
      </c>
      <c r="AV126">
        <v>0</v>
      </c>
      <c r="AW126">
        <v>0</v>
      </c>
      <c r="AX126">
        <v>8550</v>
      </c>
      <c r="AY126">
        <v>475</v>
      </c>
      <c r="AZ126">
        <v>0</v>
      </c>
      <c r="BC126">
        <v>-8075</v>
      </c>
      <c r="BE126" t="s">
        <v>114</v>
      </c>
      <c r="BH126">
        <v>-475</v>
      </c>
      <c r="BI126">
        <v>-39.583333333333336</v>
      </c>
      <c r="BK126" t="s">
        <v>116</v>
      </c>
      <c r="BL126">
        <v>0</v>
      </c>
      <c r="BM126">
        <v>-8550</v>
      </c>
      <c r="BR126">
        <v>0</v>
      </c>
      <c r="BS126">
        <v>0</v>
      </c>
      <c r="BW126" t="s">
        <v>167</v>
      </c>
      <c r="BX126" t="s">
        <v>168</v>
      </c>
      <c r="BZ126" t="s">
        <v>956</v>
      </c>
    </row>
    <row r="127" spans="1:78">
      <c r="A127" t="s">
        <v>301</v>
      </c>
      <c r="B127" t="s">
        <v>859</v>
      </c>
      <c r="C127" t="s">
        <v>54</v>
      </c>
      <c r="D127" t="s">
        <v>1</v>
      </c>
      <c r="E127" t="s">
        <v>115</v>
      </c>
      <c r="F127" t="s">
        <v>99</v>
      </c>
      <c r="G127" t="s">
        <v>100</v>
      </c>
      <c r="H127" t="s">
        <v>128</v>
      </c>
      <c r="I127" t="s">
        <v>100</v>
      </c>
      <c r="J127" t="s">
        <v>101</v>
      </c>
      <c r="K127" t="s">
        <v>559</v>
      </c>
      <c r="L127" t="s">
        <v>559</v>
      </c>
      <c r="M127" t="s">
        <v>100</v>
      </c>
      <c r="N127" t="s">
        <v>489</v>
      </c>
      <c r="O127" t="s">
        <v>100</v>
      </c>
      <c r="Q127" t="s">
        <v>489</v>
      </c>
      <c r="R127" t="s">
        <v>119</v>
      </c>
      <c r="S127" t="s">
        <v>130</v>
      </c>
      <c r="T127" t="s">
        <v>120</v>
      </c>
      <c r="U127" t="s">
        <v>101</v>
      </c>
      <c r="V127" t="s">
        <v>121</v>
      </c>
      <c r="W127" t="s">
        <v>122</v>
      </c>
      <c r="X127" t="s">
        <v>123</v>
      </c>
      <c r="Y127">
        <v>1</v>
      </c>
      <c r="Z127" t="s">
        <v>579</v>
      </c>
      <c r="AA127" s="280">
        <v>40025</v>
      </c>
      <c r="AB127" t="s">
        <v>114</v>
      </c>
      <c r="AC127" t="s">
        <v>124</v>
      </c>
      <c r="AD127" s="280">
        <v>44651</v>
      </c>
      <c r="AE127" t="s">
        <v>125</v>
      </c>
      <c r="AF127">
        <v>6</v>
      </c>
      <c r="AG127">
        <v>0</v>
      </c>
      <c r="AH127">
        <v>0</v>
      </c>
      <c r="AI127" t="s">
        <v>126</v>
      </c>
      <c r="AL127">
        <v>1</v>
      </c>
      <c r="AN127">
        <v>1</v>
      </c>
      <c r="AO127">
        <v>0</v>
      </c>
      <c r="AP127" t="s">
        <v>1050</v>
      </c>
      <c r="AR127" t="s">
        <v>127</v>
      </c>
      <c r="AS127">
        <v>7011</v>
      </c>
      <c r="AU127">
        <v>0</v>
      </c>
      <c r="AV127">
        <v>0</v>
      </c>
      <c r="AW127">
        <v>0</v>
      </c>
      <c r="AX127">
        <v>7011</v>
      </c>
      <c r="AY127">
        <v>389.5</v>
      </c>
      <c r="AZ127">
        <v>0</v>
      </c>
      <c r="BC127">
        <v>-6621.5</v>
      </c>
      <c r="BE127" t="s">
        <v>114</v>
      </c>
      <c r="BH127">
        <v>-389.5</v>
      </c>
      <c r="BI127">
        <v>-32.458333333333336</v>
      </c>
      <c r="BK127" t="s">
        <v>116</v>
      </c>
      <c r="BL127">
        <v>0</v>
      </c>
      <c r="BM127">
        <v>-7011</v>
      </c>
      <c r="BR127">
        <v>0</v>
      </c>
      <c r="BS127">
        <v>0</v>
      </c>
      <c r="BW127" t="s">
        <v>167</v>
      </c>
      <c r="BX127" t="s">
        <v>168</v>
      </c>
      <c r="BZ127" t="s">
        <v>984</v>
      </c>
    </row>
    <row r="128" spans="1:78">
      <c r="A128" t="s">
        <v>302</v>
      </c>
      <c r="B128" t="s">
        <v>899</v>
      </c>
      <c r="C128" t="s">
        <v>54</v>
      </c>
      <c r="D128" t="s">
        <v>1</v>
      </c>
      <c r="E128" t="s">
        <v>115</v>
      </c>
      <c r="F128" t="s">
        <v>99</v>
      </c>
      <c r="G128" t="s">
        <v>100</v>
      </c>
      <c r="H128" t="s">
        <v>128</v>
      </c>
      <c r="I128" t="s">
        <v>100</v>
      </c>
      <c r="J128" t="s">
        <v>101</v>
      </c>
      <c r="K128" t="s">
        <v>559</v>
      </c>
      <c r="L128" t="s">
        <v>559</v>
      </c>
      <c r="M128" t="s">
        <v>100</v>
      </c>
      <c r="N128" t="s">
        <v>492</v>
      </c>
      <c r="O128" t="s">
        <v>100</v>
      </c>
      <c r="Q128" t="s">
        <v>492</v>
      </c>
      <c r="R128" t="s">
        <v>119</v>
      </c>
      <c r="S128" t="s">
        <v>130</v>
      </c>
      <c r="T128" t="s">
        <v>120</v>
      </c>
      <c r="U128" t="s">
        <v>101</v>
      </c>
      <c r="V128" t="s">
        <v>121</v>
      </c>
      <c r="W128" t="s">
        <v>122</v>
      </c>
      <c r="X128" t="s">
        <v>123</v>
      </c>
      <c r="Y128">
        <v>1</v>
      </c>
      <c r="Z128" t="s">
        <v>579</v>
      </c>
      <c r="AA128" s="280">
        <v>40025</v>
      </c>
      <c r="AB128" t="s">
        <v>114</v>
      </c>
      <c r="AC128" t="s">
        <v>124</v>
      </c>
      <c r="AD128" s="280">
        <v>44651</v>
      </c>
      <c r="AE128" t="s">
        <v>125</v>
      </c>
      <c r="AF128">
        <v>6</v>
      </c>
      <c r="AG128">
        <v>0</v>
      </c>
      <c r="AH128">
        <v>0</v>
      </c>
      <c r="AI128" t="s">
        <v>126</v>
      </c>
      <c r="AL128">
        <v>1</v>
      </c>
      <c r="AN128">
        <v>1</v>
      </c>
      <c r="AO128">
        <v>0</v>
      </c>
      <c r="AP128" t="s">
        <v>1050</v>
      </c>
      <c r="AR128" t="s">
        <v>127</v>
      </c>
      <c r="AS128">
        <v>8550</v>
      </c>
      <c r="AU128">
        <v>0</v>
      </c>
      <c r="AV128">
        <v>0</v>
      </c>
      <c r="AW128">
        <v>0</v>
      </c>
      <c r="AX128">
        <v>8550</v>
      </c>
      <c r="AY128">
        <v>475</v>
      </c>
      <c r="AZ128">
        <v>0</v>
      </c>
      <c r="BC128">
        <v>-8075</v>
      </c>
      <c r="BE128" t="s">
        <v>114</v>
      </c>
      <c r="BH128">
        <v>-475</v>
      </c>
      <c r="BI128">
        <v>-39.583333333333336</v>
      </c>
      <c r="BK128" t="s">
        <v>116</v>
      </c>
      <c r="BL128">
        <v>0</v>
      </c>
      <c r="BM128">
        <v>-8550</v>
      </c>
      <c r="BR128">
        <v>0</v>
      </c>
      <c r="BS128">
        <v>0</v>
      </c>
      <c r="BW128" t="s">
        <v>167</v>
      </c>
      <c r="BX128" t="s">
        <v>168</v>
      </c>
      <c r="BZ128" t="s">
        <v>940</v>
      </c>
    </row>
    <row r="129" spans="1:78">
      <c r="A129" t="s">
        <v>303</v>
      </c>
      <c r="B129" t="s">
        <v>888</v>
      </c>
      <c r="C129" t="s">
        <v>54</v>
      </c>
      <c r="D129" t="s">
        <v>1</v>
      </c>
      <c r="E129" t="s">
        <v>115</v>
      </c>
      <c r="F129" t="s">
        <v>99</v>
      </c>
      <c r="G129" t="s">
        <v>100</v>
      </c>
      <c r="H129" t="s">
        <v>128</v>
      </c>
      <c r="I129" t="s">
        <v>100</v>
      </c>
      <c r="J129" t="s">
        <v>101</v>
      </c>
      <c r="K129" t="s">
        <v>559</v>
      </c>
      <c r="L129" t="s">
        <v>559</v>
      </c>
      <c r="M129" t="s">
        <v>100</v>
      </c>
      <c r="N129" t="s">
        <v>489</v>
      </c>
      <c r="O129" t="s">
        <v>100</v>
      </c>
      <c r="Q129" t="s">
        <v>489</v>
      </c>
      <c r="R129" t="s">
        <v>119</v>
      </c>
      <c r="S129" t="s">
        <v>130</v>
      </c>
      <c r="T129" t="s">
        <v>120</v>
      </c>
      <c r="U129" t="s">
        <v>101</v>
      </c>
      <c r="V129" t="s">
        <v>121</v>
      </c>
      <c r="W129" t="s">
        <v>122</v>
      </c>
      <c r="X129" t="s">
        <v>123</v>
      </c>
      <c r="Y129">
        <v>1</v>
      </c>
      <c r="Z129" t="s">
        <v>579</v>
      </c>
      <c r="AA129" s="280">
        <v>40025</v>
      </c>
      <c r="AB129" t="s">
        <v>114</v>
      </c>
      <c r="AC129" t="s">
        <v>124</v>
      </c>
      <c r="AD129" s="280">
        <v>44651</v>
      </c>
      <c r="AE129" t="s">
        <v>125</v>
      </c>
      <c r="AF129">
        <v>6</v>
      </c>
      <c r="AG129">
        <v>0</v>
      </c>
      <c r="AH129">
        <v>0</v>
      </c>
      <c r="AI129" t="s">
        <v>126</v>
      </c>
      <c r="AL129">
        <v>1</v>
      </c>
      <c r="AN129">
        <v>1</v>
      </c>
      <c r="AO129">
        <v>0</v>
      </c>
      <c r="AP129" t="s">
        <v>1050</v>
      </c>
      <c r="AR129" t="s">
        <v>127</v>
      </c>
      <c r="AS129">
        <v>7011</v>
      </c>
      <c r="AU129">
        <v>0</v>
      </c>
      <c r="AV129">
        <v>0</v>
      </c>
      <c r="AW129">
        <v>0</v>
      </c>
      <c r="AX129">
        <v>7011</v>
      </c>
      <c r="AY129">
        <v>389.5</v>
      </c>
      <c r="AZ129">
        <v>0</v>
      </c>
      <c r="BC129">
        <v>-6621.5</v>
      </c>
      <c r="BE129" t="s">
        <v>114</v>
      </c>
      <c r="BH129">
        <v>-389.5</v>
      </c>
      <c r="BI129">
        <v>-32.458333333333336</v>
      </c>
      <c r="BK129" t="s">
        <v>116</v>
      </c>
      <c r="BL129">
        <v>0</v>
      </c>
      <c r="BM129">
        <v>-7011</v>
      </c>
      <c r="BR129">
        <v>0</v>
      </c>
      <c r="BS129">
        <v>0</v>
      </c>
      <c r="BW129" t="s">
        <v>167</v>
      </c>
      <c r="BX129" t="s">
        <v>168</v>
      </c>
      <c r="BZ129" t="s">
        <v>977</v>
      </c>
    </row>
    <row r="130" spans="1:78">
      <c r="A130" t="s">
        <v>304</v>
      </c>
      <c r="B130" t="s">
        <v>856</v>
      </c>
      <c r="C130" t="s">
        <v>54</v>
      </c>
      <c r="D130" t="s">
        <v>1</v>
      </c>
      <c r="E130" t="s">
        <v>115</v>
      </c>
      <c r="F130" t="s">
        <v>99</v>
      </c>
      <c r="G130" t="s">
        <v>100</v>
      </c>
      <c r="H130" t="s">
        <v>128</v>
      </c>
      <c r="I130" t="s">
        <v>100</v>
      </c>
      <c r="J130" t="s">
        <v>101</v>
      </c>
      <c r="K130" t="s">
        <v>559</v>
      </c>
      <c r="L130" t="s">
        <v>559</v>
      </c>
      <c r="M130" t="s">
        <v>100</v>
      </c>
      <c r="N130" t="s">
        <v>493</v>
      </c>
      <c r="O130" t="s">
        <v>100</v>
      </c>
      <c r="Q130" t="s">
        <v>493</v>
      </c>
      <c r="R130" t="s">
        <v>119</v>
      </c>
      <c r="S130" t="s">
        <v>130</v>
      </c>
      <c r="T130" t="s">
        <v>120</v>
      </c>
      <c r="U130" t="s">
        <v>101</v>
      </c>
      <c r="V130" t="s">
        <v>121</v>
      </c>
      <c r="W130" t="s">
        <v>122</v>
      </c>
      <c r="X130" t="s">
        <v>123</v>
      </c>
      <c r="Y130">
        <v>1</v>
      </c>
      <c r="Z130" t="s">
        <v>579</v>
      </c>
      <c r="AA130" s="280">
        <v>40025</v>
      </c>
      <c r="AB130" t="s">
        <v>114</v>
      </c>
      <c r="AC130" t="s">
        <v>124</v>
      </c>
      <c r="AD130" s="280">
        <v>44651</v>
      </c>
      <c r="AE130" t="s">
        <v>125</v>
      </c>
      <c r="AF130">
        <v>6</v>
      </c>
      <c r="AG130">
        <v>0</v>
      </c>
      <c r="AH130">
        <v>0</v>
      </c>
      <c r="AI130" t="s">
        <v>126</v>
      </c>
      <c r="AL130">
        <v>1</v>
      </c>
      <c r="AN130">
        <v>1</v>
      </c>
      <c r="AO130">
        <v>0</v>
      </c>
      <c r="AP130" t="s">
        <v>1051</v>
      </c>
      <c r="AR130" t="s">
        <v>127</v>
      </c>
      <c r="AS130">
        <v>14956.8</v>
      </c>
      <c r="AU130">
        <v>0</v>
      </c>
      <c r="AV130">
        <v>0</v>
      </c>
      <c r="AW130">
        <v>0</v>
      </c>
      <c r="AX130">
        <v>14956.8</v>
      </c>
      <c r="AY130">
        <v>830.9333333333343</v>
      </c>
      <c r="AZ130">
        <v>0</v>
      </c>
      <c r="BC130">
        <v>-14125.866666666665</v>
      </c>
      <c r="BE130" t="s">
        <v>114</v>
      </c>
      <c r="BH130">
        <v>-830.9333333333343</v>
      </c>
      <c r="BI130">
        <v>-69.244444444444525</v>
      </c>
      <c r="BK130" t="s">
        <v>116</v>
      </c>
      <c r="BL130">
        <v>0</v>
      </c>
      <c r="BM130">
        <v>-14956.8</v>
      </c>
      <c r="BR130">
        <v>0</v>
      </c>
      <c r="BS130">
        <v>0</v>
      </c>
      <c r="BW130" t="s">
        <v>167</v>
      </c>
      <c r="BX130" t="s">
        <v>168</v>
      </c>
      <c r="BZ130" t="s">
        <v>940</v>
      </c>
    </row>
    <row r="131" spans="1:78">
      <c r="A131" t="s">
        <v>305</v>
      </c>
      <c r="B131" t="s">
        <v>894</v>
      </c>
      <c r="C131" t="s">
        <v>54</v>
      </c>
      <c r="D131" t="s">
        <v>1</v>
      </c>
      <c r="E131" t="s">
        <v>115</v>
      </c>
      <c r="F131" t="s">
        <v>99</v>
      </c>
      <c r="G131" t="s">
        <v>100</v>
      </c>
      <c r="H131" t="s">
        <v>128</v>
      </c>
      <c r="I131" t="s">
        <v>100</v>
      </c>
      <c r="J131" t="s">
        <v>101</v>
      </c>
      <c r="K131" t="s">
        <v>559</v>
      </c>
      <c r="L131" t="s">
        <v>559</v>
      </c>
      <c r="M131" t="s">
        <v>100</v>
      </c>
      <c r="N131" t="s">
        <v>489</v>
      </c>
      <c r="O131" t="s">
        <v>100</v>
      </c>
      <c r="Q131" t="s">
        <v>489</v>
      </c>
      <c r="R131" t="s">
        <v>119</v>
      </c>
      <c r="S131" t="s">
        <v>130</v>
      </c>
      <c r="T131" t="s">
        <v>120</v>
      </c>
      <c r="U131" t="s">
        <v>101</v>
      </c>
      <c r="V131" t="s">
        <v>121</v>
      </c>
      <c r="W131" t="s">
        <v>122</v>
      </c>
      <c r="X131" t="s">
        <v>123</v>
      </c>
      <c r="Y131">
        <v>1</v>
      </c>
      <c r="Z131" t="s">
        <v>579</v>
      </c>
      <c r="AA131" s="280">
        <v>40025</v>
      </c>
      <c r="AB131" t="s">
        <v>114</v>
      </c>
      <c r="AC131" t="s">
        <v>124</v>
      </c>
      <c r="AD131" s="280">
        <v>44651</v>
      </c>
      <c r="AE131" t="s">
        <v>125</v>
      </c>
      <c r="AF131">
        <v>6</v>
      </c>
      <c r="AG131">
        <v>0</v>
      </c>
      <c r="AH131">
        <v>0</v>
      </c>
      <c r="AI131" t="s">
        <v>126</v>
      </c>
      <c r="AL131">
        <v>1</v>
      </c>
      <c r="AN131">
        <v>1</v>
      </c>
      <c r="AO131">
        <v>0</v>
      </c>
      <c r="AP131" t="s">
        <v>1050</v>
      </c>
      <c r="AR131" t="s">
        <v>127</v>
      </c>
      <c r="AS131">
        <v>3505.5</v>
      </c>
      <c r="AU131">
        <v>0</v>
      </c>
      <c r="AV131">
        <v>0</v>
      </c>
      <c r="AW131">
        <v>0</v>
      </c>
      <c r="AX131">
        <v>3505.5</v>
      </c>
      <c r="AY131">
        <v>194.75</v>
      </c>
      <c r="AZ131">
        <v>0</v>
      </c>
      <c r="BC131">
        <v>-3310.75</v>
      </c>
      <c r="BE131" t="s">
        <v>114</v>
      </c>
      <c r="BH131">
        <v>-194.75</v>
      </c>
      <c r="BI131">
        <v>-16.229166666666668</v>
      </c>
      <c r="BK131" t="s">
        <v>116</v>
      </c>
      <c r="BL131">
        <v>0</v>
      </c>
      <c r="BM131">
        <v>-3505.5</v>
      </c>
      <c r="BR131">
        <v>0</v>
      </c>
      <c r="BS131">
        <v>0</v>
      </c>
      <c r="BW131" t="s">
        <v>167</v>
      </c>
      <c r="BX131" t="s">
        <v>168</v>
      </c>
      <c r="BZ131" t="s">
        <v>987</v>
      </c>
    </row>
    <row r="132" spans="1:78">
      <c r="A132" t="s">
        <v>306</v>
      </c>
      <c r="B132" t="s">
        <v>900</v>
      </c>
      <c r="C132" t="s">
        <v>54</v>
      </c>
      <c r="D132" t="s">
        <v>1</v>
      </c>
      <c r="E132" t="s">
        <v>115</v>
      </c>
      <c r="F132" t="s">
        <v>99</v>
      </c>
      <c r="G132" t="s">
        <v>100</v>
      </c>
      <c r="H132" t="s">
        <v>128</v>
      </c>
      <c r="I132" t="s">
        <v>100</v>
      </c>
      <c r="J132" t="s">
        <v>101</v>
      </c>
      <c r="K132" t="s">
        <v>559</v>
      </c>
      <c r="L132" t="s">
        <v>559</v>
      </c>
      <c r="M132" t="s">
        <v>100</v>
      </c>
      <c r="N132" t="s">
        <v>494</v>
      </c>
      <c r="O132" t="s">
        <v>100</v>
      </c>
      <c r="Q132" t="s">
        <v>494</v>
      </c>
      <c r="R132" t="s">
        <v>119</v>
      </c>
      <c r="S132" t="s">
        <v>130</v>
      </c>
      <c r="T132" t="s">
        <v>120</v>
      </c>
      <c r="U132" t="s">
        <v>101</v>
      </c>
      <c r="V132" t="s">
        <v>121</v>
      </c>
      <c r="W132" t="s">
        <v>122</v>
      </c>
      <c r="X132" t="s">
        <v>123</v>
      </c>
      <c r="Y132">
        <v>1</v>
      </c>
      <c r="Z132" t="s">
        <v>575</v>
      </c>
      <c r="AA132" s="280">
        <v>39259</v>
      </c>
      <c r="AB132" t="s">
        <v>114</v>
      </c>
      <c r="AC132" t="s">
        <v>124</v>
      </c>
      <c r="AD132" s="280">
        <v>44651</v>
      </c>
      <c r="AE132" t="s">
        <v>125</v>
      </c>
      <c r="AF132">
        <v>6</v>
      </c>
      <c r="AG132">
        <v>0</v>
      </c>
      <c r="AH132">
        <v>0</v>
      </c>
      <c r="AI132" t="s">
        <v>126</v>
      </c>
      <c r="AL132">
        <v>1</v>
      </c>
      <c r="AN132">
        <v>1</v>
      </c>
      <c r="AO132">
        <v>0</v>
      </c>
      <c r="AP132" t="s">
        <v>1052</v>
      </c>
      <c r="AR132" t="s">
        <v>127</v>
      </c>
      <c r="AS132">
        <v>3967.63</v>
      </c>
      <c r="AU132">
        <v>0</v>
      </c>
      <c r="AV132">
        <v>0</v>
      </c>
      <c r="AW132">
        <v>0</v>
      </c>
      <c r="AX132">
        <v>3967.63</v>
      </c>
      <c r="AY132">
        <v>220.42388888888854</v>
      </c>
      <c r="AZ132">
        <v>0</v>
      </c>
      <c r="BC132">
        <v>-3747.2061111111116</v>
      </c>
      <c r="BE132" t="s">
        <v>114</v>
      </c>
      <c r="BH132">
        <v>-220.42388888888854</v>
      </c>
      <c r="BI132">
        <v>-18.36865740740738</v>
      </c>
      <c r="BK132" t="s">
        <v>116</v>
      </c>
      <c r="BL132">
        <v>0</v>
      </c>
      <c r="BM132">
        <v>-3967.63</v>
      </c>
      <c r="BR132">
        <v>0</v>
      </c>
      <c r="BS132">
        <v>0</v>
      </c>
      <c r="BW132" t="s">
        <v>167</v>
      </c>
      <c r="BX132" t="s">
        <v>168</v>
      </c>
      <c r="BZ132" t="s">
        <v>988</v>
      </c>
    </row>
    <row r="133" spans="1:78">
      <c r="A133" t="s">
        <v>307</v>
      </c>
      <c r="B133" t="s">
        <v>901</v>
      </c>
      <c r="C133" t="s">
        <v>54</v>
      </c>
      <c r="D133" t="s">
        <v>1</v>
      </c>
      <c r="E133" t="s">
        <v>115</v>
      </c>
      <c r="F133" t="s">
        <v>99</v>
      </c>
      <c r="G133" t="s">
        <v>100</v>
      </c>
      <c r="H133" t="s">
        <v>128</v>
      </c>
      <c r="I133" t="s">
        <v>100</v>
      </c>
      <c r="J133" t="s">
        <v>101</v>
      </c>
      <c r="K133" t="s">
        <v>559</v>
      </c>
      <c r="L133" t="s">
        <v>559</v>
      </c>
      <c r="M133" t="s">
        <v>100</v>
      </c>
      <c r="N133" t="s">
        <v>469</v>
      </c>
      <c r="O133" t="s">
        <v>100</v>
      </c>
      <c r="Q133" t="s">
        <v>469</v>
      </c>
      <c r="R133" t="s">
        <v>119</v>
      </c>
      <c r="S133" t="s">
        <v>130</v>
      </c>
      <c r="T133" t="s">
        <v>120</v>
      </c>
      <c r="U133" t="s">
        <v>101</v>
      </c>
      <c r="V133" t="s">
        <v>121</v>
      </c>
      <c r="W133" t="s">
        <v>122</v>
      </c>
      <c r="X133" t="s">
        <v>123</v>
      </c>
      <c r="Y133">
        <v>1</v>
      </c>
      <c r="Z133" t="s">
        <v>575</v>
      </c>
      <c r="AA133" s="280">
        <v>39259</v>
      </c>
      <c r="AB133" t="s">
        <v>114</v>
      </c>
      <c r="AC133" t="s">
        <v>124</v>
      </c>
      <c r="AD133" s="280">
        <v>44651</v>
      </c>
      <c r="AE133" t="s">
        <v>125</v>
      </c>
      <c r="AF133">
        <v>6</v>
      </c>
      <c r="AG133">
        <v>0</v>
      </c>
      <c r="AH133">
        <v>0</v>
      </c>
      <c r="AI133" t="s">
        <v>126</v>
      </c>
      <c r="AL133">
        <v>1</v>
      </c>
      <c r="AN133">
        <v>1</v>
      </c>
      <c r="AO133">
        <v>0</v>
      </c>
      <c r="AP133" t="s">
        <v>1050</v>
      </c>
      <c r="AR133" t="s">
        <v>127</v>
      </c>
      <c r="AS133">
        <v>3967.64</v>
      </c>
      <c r="AU133">
        <v>0</v>
      </c>
      <c r="AV133">
        <v>0</v>
      </c>
      <c r="AW133">
        <v>0</v>
      </c>
      <c r="AX133">
        <v>3967.64</v>
      </c>
      <c r="AY133">
        <v>220.42444444444436</v>
      </c>
      <c r="AZ133">
        <v>0</v>
      </c>
      <c r="BC133">
        <v>-3747.2155555555555</v>
      </c>
      <c r="BE133" t="s">
        <v>114</v>
      </c>
      <c r="BH133">
        <v>-220.42444444444436</v>
      </c>
      <c r="BI133">
        <v>-18.368703703703698</v>
      </c>
      <c r="BK133" t="s">
        <v>116</v>
      </c>
      <c r="BL133">
        <v>0</v>
      </c>
      <c r="BM133">
        <v>-3967.64</v>
      </c>
      <c r="BR133">
        <v>0</v>
      </c>
      <c r="BS133">
        <v>0</v>
      </c>
      <c r="BW133" t="s">
        <v>167</v>
      </c>
      <c r="BX133" t="s">
        <v>168</v>
      </c>
      <c r="BZ133" t="s">
        <v>989</v>
      </c>
    </row>
    <row r="134" spans="1:78">
      <c r="A134" t="s">
        <v>308</v>
      </c>
      <c r="B134" t="s">
        <v>868</v>
      </c>
      <c r="C134" t="s">
        <v>54</v>
      </c>
      <c r="D134" t="s">
        <v>1</v>
      </c>
      <c r="E134" t="s">
        <v>115</v>
      </c>
      <c r="F134" t="s">
        <v>99</v>
      </c>
      <c r="G134" t="s">
        <v>100</v>
      </c>
      <c r="H134" t="s">
        <v>128</v>
      </c>
      <c r="I134" t="s">
        <v>100</v>
      </c>
      <c r="J134" t="s">
        <v>101</v>
      </c>
      <c r="K134" t="s">
        <v>559</v>
      </c>
      <c r="L134" t="s">
        <v>559</v>
      </c>
      <c r="M134" t="s">
        <v>100</v>
      </c>
      <c r="N134" t="s">
        <v>469</v>
      </c>
      <c r="O134" t="s">
        <v>100</v>
      </c>
      <c r="Q134" t="s">
        <v>469</v>
      </c>
      <c r="R134" t="s">
        <v>119</v>
      </c>
      <c r="S134" t="s">
        <v>130</v>
      </c>
      <c r="T134" t="s">
        <v>120</v>
      </c>
      <c r="U134" t="s">
        <v>101</v>
      </c>
      <c r="V134" t="s">
        <v>121</v>
      </c>
      <c r="W134" t="s">
        <v>122</v>
      </c>
      <c r="X134" t="s">
        <v>123</v>
      </c>
      <c r="Y134">
        <v>1</v>
      </c>
      <c r="Z134" t="s">
        <v>575</v>
      </c>
      <c r="AA134" s="280">
        <v>39259</v>
      </c>
      <c r="AB134" t="s">
        <v>114</v>
      </c>
      <c r="AC134" t="s">
        <v>124</v>
      </c>
      <c r="AD134" s="280">
        <v>44651</v>
      </c>
      <c r="AE134" t="s">
        <v>125</v>
      </c>
      <c r="AF134">
        <v>6</v>
      </c>
      <c r="AG134">
        <v>0</v>
      </c>
      <c r="AH134">
        <v>0</v>
      </c>
      <c r="AI134" t="s">
        <v>126</v>
      </c>
      <c r="AL134">
        <v>1</v>
      </c>
      <c r="AN134">
        <v>1</v>
      </c>
      <c r="AO134">
        <v>0</v>
      </c>
      <c r="AP134" t="s">
        <v>1050</v>
      </c>
      <c r="AR134" t="s">
        <v>127</v>
      </c>
      <c r="AS134">
        <v>3967.64</v>
      </c>
      <c r="AU134">
        <v>0</v>
      </c>
      <c r="AV134">
        <v>0</v>
      </c>
      <c r="AW134">
        <v>0</v>
      </c>
      <c r="AX134">
        <v>3967.64</v>
      </c>
      <c r="AY134">
        <v>220.42444444444436</v>
      </c>
      <c r="AZ134">
        <v>0</v>
      </c>
      <c r="BC134">
        <v>-3747.2155555555555</v>
      </c>
      <c r="BE134" t="s">
        <v>114</v>
      </c>
      <c r="BH134">
        <v>-220.42444444444436</v>
      </c>
      <c r="BI134">
        <v>-18.368703703703698</v>
      </c>
      <c r="BK134" t="s">
        <v>116</v>
      </c>
      <c r="BL134">
        <v>0</v>
      </c>
      <c r="BM134">
        <v>-3967.64</v>
      </c>
      <c r="BR134">
        <v>0</v>
      </c>
      <c r="BS134">
        <v>0</v>
      </c>
      <c r="BW134" t="s">
        <v>167</v>
      </c>
      <c r="BX134" t="s">
        <v>168</v>
      </c>
      <c r="BZ134" t="s">
        <v>961</v>
      </c>
    </row>
    <row r="135" spans="1:78">
      <c r="A135" t="s">
        <v>309</v>
      </c>
      <c r="B135" t="s">
        <v>873</v>
      </c>
      <c r="C135" t="s">
        <v>54</v>
      </c>
      <c r="D135" t="s">
        <v>1</v>
      </c>
      <c r="E135" t="s">
        <v>115</v>
      </c>
      <c r="F135" t="s">
        <v>99</v>
      </c>
      <c r="G135" t="s">
        <v>100</v>
      </c>
      <c r="H135" t="s">
        <v>128</v>
      </c>
      <c r="I135" t="s">
        <v>100</v>
      </c>
      <c r="J135" t="s">
        <v>101</v>
      </c>
      <c r="K135" t="s">
        <v>559</v>
      </c>
      <c r="L135" t="s">
        <v>559</v>
      </c>
      <c r="M135" t="s">
        <v>100</v>
      </c>
      <c r="N135" t="s">
        <v>469</v>
      </c>
      <c r="O135" t="s">
        <v>100</v>
      </c>
      <c r="Q135" t="s">
        <v>469</v>
      </c>
      <c r="R135" t="s">
        <v>119</v>
      </c>
      <c r="S135" t="s">
        <v>130</v>
      </c>
      <c r="T135" t="s">
        <v>120</v>
      </c>
      <c r="U135" t="s">
        <v>101</v>
      </c>
      <c r="V135" t="s">
        <v>121</v>
      </c>
      <c r="W135" t="s">
        <v>122</v>
      </c>
      <c r="X135" t="s">
        <v>123</v>
      </c>
      <c r="Y135">
        <v>1</v>
      </c>
      <c r="Z135" t="s">
        <v>575</v>
      </c>
      <c r="AA135" s="280">
        <v>39259</v>
      </c>
      <c r="AB135" t="s">
        <v>114</v>
      </c>
      <c r="AC135" t="s">
        <v>124</v>
      </c>
      <c r="AD135" s="280">
        <v>44651</v>
      </c>
      <c r="AE135" t="s">
        <v>125</v>
      </c>
      <c r="AF135">
        <v>6</v>
      </c>
      <c r="AG135">
        <v>0</v>
      </c>
      <c r="AH135">
        <v>0</v>
      </c>
      <c r="AI135" t="s">
        <v>126</v>
      </c>
      <c r="AL135">
        <v>1</v>
      </c>
      <c r="AN135">
        <v>1</v>
      </c>
      <c r="AO135">
        <v>0</v>
      </c>
      <c r="AP135" t="s">
        <v>1050</v>
      </c>
      <c r="AR135" t="s">
        <v>127</v>
      </c>
      <c r="AS135">
        <v>3967.64</v>
      </c>
      <c r="AU135">
        <v>0</v>
      </c>
      <c r="AV135">
        <v>0</v>
      </c>
      <c r="AW135">
        <v>0</v>
      </c>
      <c r="AX135">
        <v>3967.64</v>
      </c>
      <c r="AY135">
        <v>220.42444444444436</v>
      </c>
      <c r="AZ135">
        <v>0</v>
      </c>
      <c r="BC135">
        <v>-3747.2155555555555</v>
      </c>
      <c r="BE135" t="s">
        <v>114</v>
      </c>
      <c r="BH135">
        <v>-220.42444444444436</v>
      </c>
      <c r="BI135">
        <v>-18.368703703703698</v>
      </c>
      <c r="BK135" t="s">
        <v>116</v>
      </c>
      <c r="BL135">
        <v>0</v>
      </c>
      <c r="BM135">
        <v>-3967.64</v>
      </c>
      <c r="BR135">
        <v>0</v>
      </c>
      <c r="BS135">
        <v>0</v>
      </c>
      <c r="BW135" t="s">
        <v>167</v>
      </c>
      <c r="BX135" t="s">
        <v>168</v>
      </c>
      <c r="BZ135" t="s">
        <v>957</v>
      </c>
    </row>
    <row r="136" spans="1:78">
      <c r="A136" t="s">
        <v>310</v>
      </c>
      <c r="B136" t="s">
        <v>902</v>
      </c>
      <c r="C136" t="s">
        <v>54</v>
      </c>
      <c r="D136" t="s">
        <v>1</v>
      </c>
      <c r="E136" t="s">
        <v>115</v>
      </c>
      <c r="F136" t="s">
        <v>99</v>
      </c>
      <c r="G136" t="s">
        <v>100</v>
      </c>
      <c r="H136" t="s">
        <v>128</v>
      </c>
      <c r="I136" t="s">
        <v>100</v>
      </c>
      <c r="J136" t="s">
        <v>101</v>
      </c>
      <c r="K136" t="s">
        <v>559</v>
      </c>
      <c r="L136" t="s">
        <v>559</v>
      </c>
      <c r="M136" t="s">
        <v>100</v>
      </c>
      <c r="N136" t="s">
        <v>469</v>
      </c>
      <c r="O136" t="s">
        <v>100</v>
      </c>
      <c r="Q136" t="s">
        <v>469</v>
      </c>
      <c r="R136" t="s">
        <v>119</v>
      </c>
      <c r="S136" t="s">
        <v>130</v>
      </c>
      <c r="T136" t="s">
        <v>120</v>
      </c>
      <c r="U136" t="s">
        <v>101</v>
      </c>
      <c r="V136" t="s">
        <v>121</v>
      </c>
      <c r="W136" t="s">
        <v>122</v>
      </c>
      <c r="X136" t="s">
        <v>123</v>
      </c>
      <c r="Y136">
        <v>1</v>
      </c>
      <c r="Z136" t="s">
        <v>575</v>
      </c>
      <c r="AA136" s="280">
        <v>39259</v>
      </c>
      <c r="AB136" t="s">
        <v>114</v>
      </c>
      <c r="AC136" t="s">
        <v>124</v>
      </c>
      <c r="AD136" s="280">
        <v>44651</v>
      </c>
      <c r="AE136" t="s">
        <v>125</v>
      </c>
      <c r="AF136">
        <v>6</v>
      </c>
      <c r="AG136">
        <v>0</v>
      </c>
      <c r="AH136">
        <v>0</v>
      </c>
      <c r="AI136" t="s">
        <v>126</v>
      </c>
      <c r="AL136">
        <v>1</v>
      </c>
      <c r="AN136">
        <v>1</v>
      </c>
      <c r="AO136">
        <v>0</v>
      </c>
      <c r="AP136" t="s">
        <v>1050</v>
      </c>
      <c r="AR136" t="s">
        <v>127</v>
      </c>
      <c r="AS136">
        <v>3967.64</v>
      </c>
      <c r="AU136">
        <v>0</v>
      </c>
      <c r="AV136">
        <v>0</v>
      </c>
      <c r="AW136">
        <v>0</v>
      </c>
      <c r="AX136">
        <v>3967.64</v>
      </c>
      <c r="AY136">
        <v>220.42444444444436</v>
      </c>
      <c r="AZ136">
        <v>0</v>
      </c>
      <c r="BC136">
        <v>-3747.2155555555555</v>
      </c>
      <c r="BE136" t="s">
        <v>114</v>
      </c>
      <c r="BH136">
        <v>-220.42444444444436</v>
      </c>
      <c r="BI136">
        <v>-18.368703703703698</v>
      </c>
      <c r="BK136" t="s">
        <v>116</v>
      </c>
      <c r="BL136">
        <v>0</v>
      </c>
      <c r="BM136">
        <v>-3967.64</v>
      </c>
      <c r="BR136">
        <v>0</v>
      </c>
      <c r="BS136">
        <v>0</v>
      </c>
      <c r="BW136" t="s">
        <v>167</v>
      </c>
      <c r="BX136" t="s">
        <v>168</v>
      </c>
      <c r="BZ136" t="s">
        <v>990</v>
      </c>
    </row>
    <row r="137" spans="1:78">
      <c r="A137" t="s">
        <v>311</v>
      </c>
      <c r="B137" t="s">
        <v>886</v>
      </c>
      <c r="C137" t="s">
        <v>54</v>
      </c>
      <c r="D137" t="s">
        <v>1</v>
      </c>
      <c r="E137" t="s">
        <v>115</v>
      </c>
      <c r="F137" t="s">
        <v>99</v>
      </c>
      <c r="G137" t="s">
        <v>100</v>
      </c>
      <c r="H137" t="s">
        <v>128</v>
      </c>
      <c r="I137" t="s">
        <v>100</v>
      </c>
      <c r="J137" t="s">
        <v>101</v>
      </c>
      <c r="K137" t="s">
        <v>559</v>
      </c>
      <c r="L137" t="s">
        <v>559</v>
      </c>
      <c r="M137" t="s">
        <v>100</v>
      </c>
      <c r="N137" t="s">
        <v>494</v>
      </c>
      <c r="O137" t="s">
        <v>100</v>
      </c>
      <c r="Q137" t="s">
        <v>494</v>
      </c>
      <c r="R137" t="s">
        <v>119</v>
      </c>
      <c r="S137" t="s">
        <v>130</v>
      </c>
      <c r="T137" t="s">
        <v>120</v>
      </c>
      <c r="U137" t="s">
        <v>101</v>
      </c>
      <c r="V137" t="s">
        <v>121</v>
      </c>
      <c r="W137" t="s">
        <v>122</v>
      </c>
      <c r="X137" t="s">
        <v>123</v>
      </c>
      <c r="Y137">
        <v>1</v>
      </c>
      <c r="Z137" t="s">
        <v>575</v>
      </c>
      <c r="AA137" s="280">
        <v>39259</v>
      </c>
      <c r="AB137" t="s">
        <v>114</v>
      </c>
      <c r="AC137" t="s">
        <v>124</v>
      </c>
      <c r="AD137" s="280">
        <v>44651</v>
      </c>
      <c r="AE137" t="s">
        <v>125</v>
      </c>
      <c r="AF137">
        <v>6</v>
      </c>
      <c r="AG137">
        <v>0</v>
      </c>
      <c r="AH137">
        <v>0</v>
      </c>
      <c r="AI137" t="s">
        <v>126</v>
      </c>
      <c r="AL137">
        <v>1</v>
      </c>
      <c r="AN137">
        <v>1</v>
      </c>
      <c r="AO137">
        <v>0</v>
      </c>
      <c r="AP137" t="s">
        <v>1050</v>
      </c>
      <c r="AR137" t="s">
        <v>127</v>
      </c>
      <c r="AS137">
        <v>3967.63</v>
      </c>
      <c r="AU137">
        <v>0</v>
      </c>
      <c r="AV137">
        <v>0</v>
      </c>
      <c r="AW137">
        <v>0</v>
      </c>
      <c r="AX137">
        <v>3967.63</v>
      </c>
      <c r="AY137">
        <v>220.42388888888854</v>
      </c>
      <c r="AZ137">
        <v>0</v>
      </c>
      <c r="BC137">
        <v>-3747.2061111111116</v>
      </c>
      <c r="BE137" t="s">
        <v>114</v>
      </c>
      <c r="BH137">
        <v>-220.42388888888854</v>
      </c>
      <c r="BI137">
        <v>-18.36865740740738</v>
      </c>
      <c r="BK137" t="s">
        <v>116</v>
      </c>
      <c r="BL137">
        <v>0</v>
      </c>
      <c r="BM137">
        <v>-3967.63</v>
      </c>
      <c r="BR137">
        <v>0</v>
      </c>
      <c r="BS137">
        <v>0</v>
      </c>
      <c r="BW137" t="s">
        <v>167</v>
      </c>
      <c r="BX137" t="s">
        <v>168</v>
      </c>
      <c r="BZ137" t="s">
        <v>991</v>
      </c>
    </row>
    <row r="138" spans="1:78">
      <c r="A138" t="s">
        <v>312</v>
      </c>
      <c r="B138" t="s">
        <v>864</v>
      </c>
      <c r="C138" t="s">
        <v>54</v>
      </c>
      <c r="D138" t="s">
        <v>1</v>
      </c>
      <c r="E138" t="s">
        <v>115</v>
      </c>
      <c r="F138" t="s">
        <v>99</v>
      </c>
      <c r="G138" t="s">
        <v>100</v>
      </c>
      <c r="H138" t="s">
        <v>128</v>
      </c>
      <c r="I138" t="s">
        <v>100</v>
      </c>
      <c r="J138" t="s">
        <v>101</v>
      </c>
      <c r="K138" t="s">
        <v>559</v>
      </c>
      <c r="L138" t="s">
        <v>559</v>
      </c>
      <c r="M138" t="s">
        <v>100</v>
      </c>
      <c r="N138" t="s">
        <v>495</v>
      </c>
      <c r="O138" t="s">
        <v>100</v>
      </c>
      <c r="Q138" t="s">
        <v>495</v>
      </c>
      <c r="R138" t="s">
        <v>119</v>
      </c>
      <c r="S138" t="s">
        <v>130</v>
      </c>
      <c r="T138" t="s">
        <v>120</v>
      </c>
      <c r="U138" t="s">
        <v>101</v>
      </c>
      <c r="V138" t="s">
        <v>121</v>
      </c>
      <c r="W138" t="s">
        <v>122</v>
      </c>
      <c r="X138" t="s">
        <v>123</v>
      </c>
      <c r="Y138">
        <v>1</v>
      </c>
      <c r="Z138" t="s">
        <v>571</v>
      </c>
      <c r="AA138" s="280">
        <v>39304</v>
      </c>
      <c r="AB138" t="s">
        <v>114</v>
      </c>
      <c r="AC138" t="s">
        <v>124</v>
      </c>
      <c r="AD138" s="280">
        <v>44651</v>
      </c>
      <c r="AE138" t="s">
        <v>125</v>
      </c>
      <c r="AF138">
        <v>6</v>
      </c>
      <c r="AG138">
        <v>0</v>
      </c>
      <c r="AH138">
        <v>0</v>
      </c>
      <c r="AI138" t="s">
        <v>126</v>
      </c>
      <c r="AL138">
        <v>1</v>
      </c>
      <c r="AN138">
        <v>1</v>
      </c>
      <c r="AO138">
        <v>0</v>
      </c>
      <c r="AP138" t="s">
        <v>1050</v>
      </c>
      <c r="AR138" t="s">
        <v>127</v>
      </c>
      <c r="AS138">
        <v>810.18</v>
      </c>
      <c r="AU138">
        <v>0</v>
      </c>
      <c r="AV138">
        <v>0</v>
      </c>
      <c r="AW138">
        <v>0</v>
      </c>
      <c r="AX138">
        <v>810.18</v>
      </c>
      <c r="AY138">
        <v>45.009999999999991</v>
      </c>
      <c r="AZ138">
        <v>0</v>
      </c>
      <c r="BC138">
        <v>-765.17</v>
      </c>
      <c r="BE138" t="s">
        <v>114</v>
      </c>
      <c r="BH138">
        <v>-45.009999999999991</v>
      </c>
      <c r="BI138">
        <v>-3.7508333333333326</v>
      </c>
      <c r="BK138" t="s">
        <v>116</v>
      </c>
      <c r="BL138">
        <v>0</v>
      </c>
      <c r="BM138">
        <v>-810.18</v>
      </c>
      <c r="BR138">
        <v>0</v>
      </c>
      <c r="BS138">
        <v>0</v>
      </c>
      <c r="BW138" t="s">
        <v>167</v>
      </c>
      <c r="BX138" t="s">
        <v>168</v>
      </c>
      <c r="BZ138" t="s">
        <v>948</v>
      </c>
    </row>
    <row r="139" spans="1:78">
      <c r="A139" t="s">
        <v>313</v>
      </c>
      <c r="B139" t="s">
        <v>874</v>
      </c>
      <c r="C139" t="s">
        <v>54</v>
      </c>
      <c r="D139" t="s">
        <v>1</v>
      </c>
      <c r="E139" t="s">
        <v>115</v>
      </c>
      <c r="F139" t="s">
        <v>99</v>
      </c>
      <c r="G139" t="s">
        <v>100</v>
      </c>
      <c r="H139" t="s">
        <v>128</v>
      </c>
      <c r="I139" t="s">
        <v>100</v>
      </c>
      <c r="J139" t="s">
        <v>101</v>
      </c>
      <c r="K139" t="s">
        <v>559</v>
      </c>
      <c r="L139" t="s">
        <v>559</v>
      </c>
      <c r="M139" t="s">
        <v>100</v>
      </c>
      <c r="N139" t="s">
        <v>496</v>
      </c>
      <c r="O139" t="s">
        <v>100</v>
      </c>
      <c r="Q139" t="s">
        <v>496</v>
      </c>
      <c r="R139" t="s">
        <v>119</v>
      </c>
      <c r="S139" t="s">
        <v>130</v>
      </c>
      <c r="T139" t="s">
        <v>120</v>
      </c>
      <c r="U139" t="s">
        <v>101</v>
      </c>
      <c r="V139" t="s">
        <v>121</v>
      </c>
      <c r="W139" t="s">
        <v>122</v>
      </c>
      <c r="X139" t="s">
        <v>123</v>
      </c>
      <c r="Y139">
        <v>1</v>
      </c>
      <c r="Z139" t="s">
        <v>561</v>
      </c>
      <c r="AA139" s="280">
        <v>38071</v>
      </c>
      <c r="AB139" t="s">
        <v>114</v>
      </c>
      <c r="AC139" t="s">
        <v>124</v>
      </c>
      <c r="AD139" s="280">
        <v>44651</v>
      </c>
      <c r="AE139" t="s">
        <v>125</v>
      </c>
      <c r="AF139">
        <v>6</v>
      </c>
      <c r="AG139">
        <v>0</v>
      </c>
      <c r="AH139">
        <v>0</v>
      </c>
      <c r="AI139" t="s">
        <v>126</v>
      </c>
      <c r="AL139">
        <v>1</v>
      </c>
      <c r="AN139">
        <v>1</v>
      </c>
      <c r="AO139">
        <v>0</v>
      </c>
      <c r="AP139" t="s">
        <v>1050</v>
      </c>
      <c r="AR139" t="s">
        <v>127</v>
      </c>
      <c r="AS139">
        <v>5198.3999999999996</v>
      </c>
      <c r="AU139">
        <v>0</v>
      </c>
      <c r="AV139">
        <v>0</v>
      </c>
      <c r="AW139">
        <v>0</v>
      </c>
      <c r="AX139">
        <v>5198.3999999999996</v>
      </c>
      <c r="AY139">
        <v>288.79999999999927</v>
      </c>
      <c r="AZ139">
        <v>0</v>
      </c>
      <c r="BC139">
        <v>-4909.6000000000004</v>
      </c>
      <c r="BE139" t="s">
        <v>114</v>
      </c>
      <c r="BH139">
        <v>-288.79999999999927</v>
      </c>
      <c r="BI139">
        <v>-24.066666666666606</v>
      </c>
      <c r="BK139" t="s">
        <v>116</v>
      </c>
      <c r="BL139">
        <v>0</v>
      </c>
      <c r="BM139">
        <v>-5198.3999999999996</v>
      </c>
      <c r="BR139">
        <v>0</v>
      </c>
      <c r="BS139">
        <v>0</v>
      </c>
      <c r="BW139" t="s">
        <v>167</v>
      </c>
      <c r="BX139" t="s">
        <v>168</v>
      </c>
      <c r="BZ139" t="s">
        <v>976</v>
      </c>
    </row>
    <row r="140" spans="1:78">
      <c r="A140" t="s">
        <v>314</v>
      </c>
      <c r="B140" t="s">
        <v>873</v>
      </c>
      <c r="C140" t="s">
        <v>54</v>
      </c>
      <c r="D140" t="s">
        <v>1</v>
      </c>
      <c r="E140" t="s">
        <v>115</v>
      </c>
      <c r="F140" t="s">
        <v>99</v>
      </c>
      <c r="G140" t="s">
        <v>100</v>
      </c>
      <c r="H140" t="s">
        <v>128</v>
      </c>
      <c r="I140" t="s">
        <v>100</v>
      </c>
      <c r="J140" t="s">
        <v>101</v>
      </c>
      <c r="K140" t="s">
        <v>559</v>
      </c>
      <c r="L140" t="s">
        <v>559</v>
      </c>
      <c r="M140" t="s">
        <v>100</v>
      </c>
      <c r="N140" t="s">
        <v>469</v>
      </c>
      <c r="O140" t="s">
        <v>100</v>
      </c>
      <c r="Q140" t="s">
        <v>469</v>
      </c>
      <c r="R140" t="s">
        <v>119</v>
      </c>
      <c r="S140" t="s">
        <v>130</v>
      </c>
      <c r="T140" t="s">
        <v>120</v>
      </c>
      <c r="U140" t="s">
        <v>101</v>
      </c>
      <c r="V140" t="s">
        <v>121</v>
      </c>
      <c r="W140" t="s">
        <v>122</v>
      </c>
      <c r="X140" t="s">
        <v>123</v>
      </c>
      <c r="Y140">
        <v>1</v>
      </c>
      <c r="Z140" t="s">
        <v>580</v>
      </c>
      <c r="AA140" s="280">
        <v>38098</v>
      </c>
      <c r="AB140" t="s">
        <v>114</v>
      </c>
      <c r="AC140" t="s">
        <v>124</v>
      </c>
      <c r="AD140" s="280">
        <v>44651</v>
      </c>
      <c r="AE140" t="s">
        <v>125</v>
      </c>
      <c r="AF140">
        <v>6</v>
      </c>
      <c r="AG140">
        <v>0</v>
      </c>
      <c r="AH140">
        <v>0</v>
      </c>
      <c r="AI140" t="s">
        <v>126</v>
      </c>
      <c r="AL140">
        <v>1</v>
      </c>
      <c r="AN140">
        <v>1</v>
      </c>
      <c r="AO140">
        <v>0</v>
      </c>
      <c r="AP140" t="s">
        <v>1051</v>
      </c>
      <c r="AR140" t="s">
        <v>127</v>
      </c>
      <c r="AS140">
        <v>2850</v>
      </c>
      <c r="AU140">
        <v>0</v>
      </c>
      <c r="AV140">
        <v>0</v>
      </c>
      <c r="AW140">
        <v>0</v>
      </c>
      <c r="AX140">
        <v>2850</v>
      </c>
      <c r="AY140">
        <v>158.33333333333303</v>
      </c>
      <c r="AZ140">
        <v>0</v>
      </c>
      <c r="BC140">
        <v>-2691.666666666667</v>
      </c>
      <c r="BE140" t="s">
        <v>114</v>
      </c>
      <c r="BH140">
        <v>-158.33333333333303</v>
      </c>
      <c r="BI140">
        <v>-13.19444444444442</v>
      </c>
      <c r="BK140" t="s">
        <v>116</v>
      </c>
      <c r="BL140">
        <v>0</v>
      </c>
      <c r="BM140">
        <v>-2850</v>
      </c>
      <c r="BR140">
        <v>0</v>
      </c>
      <c r="BS140">
        <v>0</v>
      </c>
      <c r="BW140" t="s">
        <v>167</v>
      </c>
      <c r="BX140" t="s">
        <v>168</v>
      </c>
      <c r="BZ140" t="s">
        <v>992</v>
      </c>
    </row>
    <row r="141" spans="1:78">
      <c r="A141" t="s">
        <v>315</v>
      </c>
      <c r="B141" t="s">
        <v>866</v>
      </c>
      <c r="C141" t="s">
        <v>54</v>
      </c>
      <c r="D141" t="s">
        <v>1</v>
      </c>
      <c r="E141" t="s">
        <v>115</v>
      </c>
      <c r="F141" t="s">
        <v>99</v>
      </c>
      <c r="G141" t="s">
        <v>100</v>
      </c>
      <c r="H141" t="s">
        <v>128</v>
      </c>
      <c r="I141" t="s">
        <v>100</v>
      </c>
      <c r="J141" t="s">
        <v>101</v>
      </c>
      <c r="K141" t="s">
        <v>559</v>
      </c>
      <c r="L141" t="s">
        <v>559</v>
      </c>
      <c r="M141" t="s">
        <v>100</v>
      </c>
      <c r="N141" t="s">
        <v>494</v>
      </c>
      <c r="O141" t="s">
        <v>100</v>
      </c>
      <c r="Q141" t="s">
        <v>494</v>
      </c>
      <c r="R141" t="s">
        <v>119</v>
      </c>
      <c r="S141" t="s">
        <v>130</v>
      </c>
      <c r="T141" t="s">
        <v>120</v>
      </c>
      <c r="U141" t="s">
        <v>101</v>
      </c>
      <c r="V141" t="s">
        <v>121</v>
      </c>
      <c r="W141" t="s">
        <v>122</v>
      </c>
      <c r="X141" t="s">
        <v>123</v>
      </c>
      <c r="Y141">
        <v>1</v>
      </c>
      <c r="Z141" t="s">
        <v>561</v>
      </c>
      <c r="AA141" s="280">
        <v>38071</v>
      </c>
      <c r="AB141" t="s">
        <v>114</v>
      </c>
      <c r="AC141" t="s">
        <v>124</v>
      </c>
      <c r="AD141" s="280">
        <v>44651</v>
      </c>
      <c r="AE141" t="s">
        <v>125</v>
      </c>
      <c r="AF141">
        <v>6</v>
      </c>
      <c r="AG141">
        <v>0</v>
      </c>
      <c r="AH141">
        <v>0</v>
      </c>
      <c r="AI141" t="s">
        <v>126</v>
      </c>
      <c r="AL141">
        <v>1</v>
      </c>
      <c r="AN141">
        <v>1</v>
      </c>
      <c r="AO141">
        <v>0</v>
      </c>
      <c r="AP141" t="s">
        <v>1051</v>
      </c>
      <c r="AR141" t="s">
        <v>127</v>
      </c>
      <c r="AS141">
        <v>1515.44</v>
      </c>
      <c r="AU141">
        <v>0</v>
      </c>
      <c r="AV141">
        <v>0</v>
      </c>
      <c r="AW141">
        <v>0</v>
      </c>
      <c r="AX141">
        <v>1515.44</v>
      </c>
      <c r="AY141">
        <v>84.19111111111124</v>
      </c>
      <c r="AZ141">
        <v>0</v>
      </c>
      <c r="BC141">
        <v>-1431.2488888888888</v>
      </c>
      <c r="BE141" t="s">
        <v>114</v>
      </c>
      <c r="BH141">
        <v>-84.19111111111124</v>
      </c>
      <c r="BI141">
        <v>-7.015925925925937</v>
      </c>
      <c r="BK141" t="s">
        <v>116</v>
      </c>
      <c r="BL141">
        <v>0</v>
      </c>
      <c r="BM141">
        <v>-1515.44</v>
      </c>
      <c r="BR141">
        <v>0</v>
      </c>
      <c r="BS141">
        <v>0</v>
      </c>
      <c r="BW141" t="s">
        <v>167</v>
      </c>
      <c r="BX141" t="s">
        <v>168</v>
      </c>
      <c r="BZ141" t="s">
        <v>985</v>
      </c>
    </row>
    <row r="142" spans="1:78">
      <c r="A142" t="s">
        <v>316</v>
      </c>
      <c r="B142" t="s">
        <v>902</v>
      </c>
      <c r="C142" t="s">
        <v>54</v>
      </c>
      <c r="D142" t="s">
        <v>1</v>
      </c>
      <c r="E142" t="s">
        <v>115</v>
      </c>
      <c r="F142" t="s">
        <v>99</v>
      </c>
      <c r="G142" t="s">
        <v>100</v>
      </c>
      <c r="H142" t="s">
        <v>128</v>
      </c>
      <c r="I142" t="s">
        <v>100</v>
      </c>
      <c r="J142" t="s">
        <v>101</v>
      </c>
      <c r="K142" t="s">
        <v>559</v>
      </c>
      <c r="L142" t="s">
        <v>559</v>
      </c>
      <c r="M142" t="s">
        <v>100</v>
      </c>
      <c r="N142" t="s">
        <v>497</v>
      </c>
      <c r="O142" t="s">
        <v>100</v>
      </c>
      <c r="Q142" t="s">
        <v>497</v>
      </c>
      <c r="R142" t="s">
        <v>119</v>
      </c>
      <c r="S142" t="s">
        <v>130</v>
      </c>
      <c r="T142" t="s">
        <v>120</v>
      </c>
      <c r="U142" t="s">
        <v>101</v>
      </c>
      <c r="V142" t="s">
        <v>121</v>
      </c>
      <c r="W142" t="s">
        <v>122</v>
      </c>
      <c r="X142" t="s">
        <v>123</v>
      </c>
      <c r="Y142">
        <v>1</v>
      </c>
      <c r="Z142" t="s">
        <v>561</v>
      </c>
      <c r="AA142" s="280">
        <v>38071</v>
      </c>
      <c r="AB142" t="s">
        <v>114</v>
      </c>
      <c r="AC142" t="s">
        <v>124</v>
      </c>
      <c r="AD142" s="280">
        <v>44651</v>
      </c>
      <c r="AE142" t="s">
        <v>125</v>
      </c>
      <c r="AF142">
        <v>6</v>
      </c>
      <c r="AG142">
        <v>0</v>
      </c>
      <c r="AH142">
        <v>0</v>
      </c>
      <c r="AI142" t="s">
        <v>126</v>
      </c>
      <c r="AL142">
        <v>1</v>
      </c>
      <c r="AN142">
        <v>1</v>
      </c>
      <c r="AO142">
        <v>0</v>
      </c>
      <c r="AP142" t="s">
        <v>1050</v>
      </c>
      <c r="AR142" t="s">
        <v>127</v>
      </c>
      <c r="AS142">
        <v>1515.44</v>
      </c>
      <c r="AU142">
        <v>0</v>
      </c>
      <c r="AV142">
        <v>0</v>
      </c>
      <c r="AW142">
        <v>0</v>
      </c>
      <c r="AX142">
        <v>1515.44</v>
      </c>
      <c r="AY142">
        <v>84.19111111111124</v>
      </c>
      <c r="AZ142">
        <v>0</v>
      </c>
      <c r="BC142">
        <v>-1431.2488888888888</v>
      </c>
      <c r="BE142" t="s">
        <v>114</v>
      </c>
      <c r="BH142">
        <v>-84.19111111111124</v>
      </c>
      <c r="BI142">
        <v>-7.015925925925937</v>
      </c>
      <c r="BK142" t="s">
        <v>116</v>
      </c>
      <c r="BL142">
        <v>0</v>
      </c>
      <c r="BM142">
        <v>-1515.44</v>
      </c>
      <c r="BR142">
        <v>0</v>
      </c>
      <c r="BS142">
        <v>0</v>
      </c>
      <c r="BW142" t="s">
        <v>167</v>
      </c>
      <c r="BX142" t="s">
        <v>168</v>
      </c>
      <c r="BZ142" t="s">
        <v>990</v>
      </c>
    </row>
    <row r="143" spans="1:78">
      <c r="A143" t="s">
        <v>317</v>
      </c>
      <c r="B143" t="s">
        <v>877</v>
      </c>
      <c r="C143" t="s">
        <v>54</v>
      </c>
      <c r="D143" t="s">
        <v>1</v>
      </c>
      <c r="E143" t="s">
        <v>115</v>
      </c>
      <c r="F143" t="s">
        <v>99</v>
      </c>
      <c r="G143" t="s">
        <v>100</v>
      </c>
      <c r="H143" t="s">
        <v>128</v>
      </c>
      <c r="I143" t="s">
        <v>100</v>
      </c>
      <c r="J143" t="s">
        <v>101</v>
      </c>
      <c r="K143" t="s">
        <v>559</v>
      </c>
      <c r="L143" t="s">
        <v>559</v>
      </c>
      <c r="M143" t="s">
        <v>100</v>
      </c>
      <c r="N143" t="s">
        <v>494</v>
      </c>
      <c r="O143" t="s">
        <v>100</v>
      </c>
      <c r="Q143" t="s">
        <v>494</v>
      </c>
      <c r="R143" t="s">
        <v>119</v>
      </c>
      <c r="S143" t="s">
        <v>130</v>
      </c>
      <c r="T143" t="s">
        <v>120</v>
      </c>
      <c r="U143" t="s">
        <v>101</v>
      </c>
      <c r="V143" t="s">
        <v>121</v>
      </c>
      <c r="W143" t="s">
        <v>122</v>
      </c>
      <c r="X143" t="s">
        <v>123</v>
      </c>
      <c r="Y143">
        <v>1</v>
      </c>
      <c r="Z143" t="s">
        <v>561</v>
      </c>
      <c r="AA143" s="280">
        <v>38071</v>
      </c>
      <c r="AB143" t="s">
        <v>114</v>
      </c>
      <c r="AC143" t="s">
        <v>124</v>
      </c>
      <c r="AD143" s="280">
        <v>44651</v>
      </c>
      <c r="AE143" t="s">
        <v>125</v>
      </c>
      <c r="AF143">
        <v>6</v>
      </c>
      <c r="AG143">
        <v>0</v>
      </c>
      <c r="AH143">
        <v>0</v>
      </c>
      <c r="AI143" t="s">
        <v>126</v>
      </c>
      <c r="AL143">
        <v>1</v>
      </c>
      <c r="AN143">
        <v>1</v>
      </c>
      <c r="AO143">
        <v>0</v>
      </c>
      <c r="AP143" t="s">
        <v>1050</v>
      </c>
      <c r="AR143" t="s">
        <v>127</v>
      </c>
      <c r="AS143">
        <v>1515.44</v>
      </c>
      <c r="AU143">
        <v>0</v>
      </c>
      <c r="AV143">
        <v>0</v>
      </c>
      <c r="AW143">
        <v>0</v>
      </c>
      <c r="AX143">
        <v>1515.44</v>
      </c>
      <c r="AY143">
        <v>84.19111111111124</v>
      </c>
      <c r="AZ143">
        <v>0</v>
      </c>
      <c r="BC143">
        <v>-1431.2488888888888</v>
      </c>
      <c r="BE143" t="s">
        <v>114</v>
      </c>
      <c r="BH143">
        <v>-84.19111111111124</v>
      </c>
      <c r="BI143">
        <v>-7.015925925925937</v>
      </c>
      <c r="BK143" t="s">
        <v>116</v>
      </c>
      <c r="BL143">
        <v>0</v>
      </c>
      <c r="BM143">
        <v>-1515.44</v>
      </c>
      <c r="BR143">
        <v>0</v>
      </c>
      <c r="BS143">
        <v>0</v>
      </c>
      <c r="BW143" t="s">
        <v>167</v>
      </c>
      <c r="BX143" t="s">
        <v>168</v>
      </c>
      <c r="BZ143" t="s">
        <v>938</v>
      </c>
    </row>
    <row r="144" spans="1:78">
      <c r="A144" t="s">
        <v>318</v>
      </c>
      <c r="B144" t="s">
        <v>882</v>
      </c>
      <c r="C144" t="s">
        <v>54</v>
      </c>
      <c r="D144" t="s">
        <v>1</v>
      </c>
      <c r="E144" t="s">
        <v>115</v>
      </c>
      <c r="F144" t="s">
        <v>99</v>
      </c>
      <c r="G144" t="s">
        <v>100</v>
      </c>
      <c r="H144" t="s">
        <v>128</v>
      </c>
      <c r="I144" t="s">
        <v>100</v>
      </c>
      <c r="J144" t="s">
        <v>101</v>
      </c>
      <c r="K144" t="s">
        <v>559</v>
      </c>
      <c r="L144" t="s">
        <v>559</v>
      </c>
      <c r="M144" t="s">
        <v>100</v>
      </c>
      <c r="N144" t="s">
        <v>498</v>
      </c>
      <c r="O144" t="s">
        <v>100</v>
      </c>
      <c r="Q144" t="s">
        <v>498</v>
      </c>
      <c r="R144" t="s">
        <v>119</v>
      </c>
      <c r="S144" t="s">
        <v>130</v>
      </c>
      <c r="T144" t="s">
        <v>120</v>
      </c>
      <c r="U144" t="s">
        <v>101</v>
      </c>
      <c r="V144" t="s">
        <v>121</v>
      </c>
      <c r="W144" t="s">
        <v>122</v>
      </c>
      <c r="X144" t="s">
        <v>123</v>
      </c>
      <c r="Y144">
        <v>1</v>
      </c>
      <c r="Z144" t="s">
        <v>561</v>
      </c>
      <c r="AA144" s="280">
        <v>38071</v>
      </c>
      <c r="AB144" t="s">
        <v>114</v>
      </c>
      <c r="AC144" t="s">
        <v>124</v>
      </c>
      <c r="AD144" s="280">
        <v>44651</v>
      </c>
      <c r="AE144" t="s">
        <v>125</v>
      </c>
      <c r="AF144">
        <v>6</v>
      </c>
      <c r="AG144">
        <v>0</v>
      </c>
      <c r="AH144">
        <v>0</v>
      </c>
      <c r="AI144" t="s">
        <v>126</v>
      </c>
      <c r="AL144">
        <v>1</v>
      </c>
      <c r="AN144">
        <v>1</v>
      </c>
      <c r="AO144">
        <v>0</v>
      </c>
      <c r="AP144" t="s">
        <v>1050</v>
      </c>
      <c r="AR144" t="s">
        <v>127</v>
      </c>
      <c r="AS144">
        <v>3780.24</v>
      </c>
      <c r="AU144">
        <v>0</v>
      </c>
      <c r="AV144">
        <v>0</v>
      </c>
      <c r="AW144">
        <v>0</v>
      </c>
      <c r="AX144">
        <v>3780.24</v>
      </c>
      <c r="AY144">
        <v>210.01333333333332</v>
      </c>
      <c r="AZ144">
        <v>0</v>
      </c>
      <c r="BC144">
        <v>-3570.2266666666665</v>
      </c>
      <c r="BE144" t="s">
        <v>114</v>
      </c>
      <c r="BH144">
        <v>-210.01333333333332</v>
      </c>
      <c r="BI144">
        <v>-17.501111111111111</v>
      </c>
      <c r="BK144" t="s">
        <v>116</v>
      </c>
      <c r="BL144">
        <v>0</v>
      </c>
      <c r="BM144">
        <v>-3780.24</v>
      </c>
      <c r="BR144">
        <v>0</v>
      </c>
      <c r="BS144">
        <v>0</v>
      </c>
      <c r="BW144" t="s">
        <v>167</v>
      </c>
      <c r="BX144" t="s">
        <v>168</v>
      </c>
      <c r="BZ144" t="s">
        <v>993</v>
      </c>
    </row>
    <row r="145" spans="1:78">
      <c r="A145" t="s">
        <v>319</v>
      </c>
      <c r="B145" t="s">
        <v>892</v>
      </c>
      <c r="C145" t="s">
        <v>54</v>
      </c>
      <c r="D145" t="s">
        <v>1</v>
      </c>
      <c r="E145" t="s">
        <v>115</v>
      </c>
      <c r="F145" t="s">
        <v>99</v>
      </c>
      <c r="G145" t="s">
        <v>100</v>
      </c>
      <c r="H145" t="s">
        <v>128</v>
      </c>
      <c r="I145" t="s">
        <v>100</v>
      </c>
      <c r="J145" t="s">
        <v>101</v>
      </c>
      <c r="K145" t="s">
        <v>559</v>
      </c>
      <c r="L145" t="s">
        <v>559</v>
      </c>
      <c r="M145" t="s">
        <v>100</v>
      </c>
      <c r="N145" t="s">
        <v>499</v>
      </c>
      <c r="O145" t="s">
        <v>100</v>
      </c>
      <c r="Q145" t="s">
        <v>499</v>
      </c>
      <c r="R145" t="s">
        <v>119</v>
      </c>
      <c r="S145" t="s">
        <v>130</v>
      </c>
      <c r="T145" t="s">
        <v>120</v>
      </c>
      <c r="U145" t="s">
        <v>101</v>
      </c>
      <c r="V145" t="s">
        <v>121</v>
      </c>
      <c r="W145" t="s">
        <v>122</v>
      </c>
      <c r="X145" t="s">
        <v>123</v>
      </c>
      <c r="Y145">
        <v>1</v>
      </c>
      <c r="Z145" t="s">
        <v>581</v>
      </c>
      <c r="AA145" s="280">
        <v>38102</v>
      </c>
      <c r="AB145" t="s">
        <v>114</v>
      </c>
      <c r="AC145" t="s">
        <v>124</v>
      </c>
      <c r="AD145" s="280">
        <v>44651</v>
      </c>
      <c r="AE145" t="s">
        <v>125</v>
      </c>
      <c r="AF145">
        <v>6</v>
      </c>
      <c r="AG145">
        <v>0</v>
      </c>
      <c r="AH145">
        <v>0</v>
      </c>
      <c r="AI145" t="s">
        <v>126</v>
      </c>
      <c r="AL145">
        <v>1</v>
      </c>
      <c r="AN145">
        <v>1</v>
      </c>
      <c r="AO145">
        <v>0</v>
      </c>
      <c r="AP145" t="s">
        <v>1051</v>
      </c>
      <c r="AR145" t="s">
        <v>127</v>
      </c>
      <c r="AS145">
        <v>2052</v>
      </c>
      <c r="AU145">
        <v>0</v>
      </c>
      <c r="AV145">
        <v>0</v>
      </c>
      <c r="AW145">
        <v>0</v>
      </c>
      <c r="AX145">
        <v>2052</v>
      </c>
      <c r="AY145">
        <v>114</v>
      </c>
      <c r="AZ145">
        <v>0</v>
      </c>
      <c r="BC145">
        <v>-1938</v>
      </c>
      <c r="BE145" t="s">
        <v>114</v>
      </c>
      <c r="BH145">
        <v>-114</v>
      </c>
      <c r="BI145">
        <v>-9.5</v>
      </c>
      <c r="BK145" t="s">
        <v>116</v>
      </c>
      <c r="BL145">
        <v>0</v>
      </c>
      <c r="BM145">
        <v>-2052</v>
      </c>
      <c r="BR145">
        <v>0</v>
      </c>
      <c r="BS145">
        <v>0</v>
      </c>
      <c r="BW145" t="s">
        <v>167</v>
      </c>
      <c r="BX145" t="s">
        <v>168</v>
      </c>
      <c r="BZ145" t="s">
        <v>980</v>
      </c>
    </row>
    <row r="146" spans="1:78">
      <c r="A146" t="s">
        <v>320</v>
      </c>
      <c r="B146" t="s">
        <v>861</v>
      </c>
      <c r="C146" t="s">
        <v>54</v>
      </c>
      <c r="D146" t="s">
        <v>1</v>
      </c>
      <c r="E146" t="s">
        <v>115</v>
      </c>
      <c r="F146" t="s">
        <v>99</v>
      </c>
      <c r="G146" t="s">
        <v>100</v>
      </c>
      <c r="H146" t="s">
        <v>128</v>
      </c>
      <c r="I146" t="s">
        <v>100</v>
      </c>
      <c r="J146" t="s">
        <v>101</v>
      </c>
      <c r="K146" t="s">
        <v>559</v>
      </c>
      <c r="L146" t="s">
        <v>559</v>
      </c>
      <c r="M146" t="s">
        <v>100</v>
      </c>
      <c r="N146" t="s">
        <v>500</v>
      </c>
      <c r="O146" t="s">
        <v>100</v>
      </c>
      <c r="Q146" t="s">
        <v>500</v>
      </c>
      <c r="R146" t="s">
        <v>119</v>
      </c>
      <c r="S146" t="s">
        <v>130</v>
      </c>
      <c r="T146" t="s">
        <v>120</v>
      </c>
      <c r="U146" t="s">
        <v>101</v>
      </c>
      <c r="V146" t="s">
        <v>121</v>
      </c>
      <c r="W146" t="s">
        <v>122</v>
      </c>
      <c r="X146" t="s">
        <v>123</v>
      </c>
      <c r="Y146">
        <v>1</v>
      </c>
      <c r="Z146" t="s">
        <v>582</v>
      </c>
      <c r="AA146" s="280">
        <v>38436</v>
      </c>
      <c r="AB146" t="s">
        <v>114</v>
      </c>
      <c r="AC146" t="s">
        <v>124</v>
      </c>
      <c r="AD146" s="280">
        <v>44651</v>
      </c>
      <c r="AE146" t="s">
        <v>125</v>
      </c>
      <c r="AF146">
        <v>6</v>
      </c>
      <c r="AG146">
        <v>0</v>
      </c>
      <c r="AH146">
        <v>0</v>
      </c>
      <c r="AI146" t="s">
        <v>126</v>
      </c>
      <c r="AL146">
        <v>1</v>
      </c>
      <c r="AN146">
        <v>1</v>
      </c>
      <c r="AO146">
        <v>0</v>
      </c>
      <c r="AP146" t="s">
        <v>1050</v>
      </c>
      <c r="AR146" t="s">
        <v>127</v>
      </c>
      <c r="AS146">
        <v>850</v>
      </c>
      <c r="AU146">
        <v>0</v>
      </c>
      <c r="AV146">
        <v>0</v>
      </c>
      <c r="AW146">
        <v>0</v>
      </c>
      <c r="AX146">
        <v>850</v>
      </c>
      <c r="AY146">
        <v>47.222222222222172</v>
      </c>
      <c r="AZ146">
        <v>0</v>
      </c>
      <c r="BC146">
        <v>-802.77777777777783</v>
      </c>
      <c r="BE146" t="s">
        <v>114</v>
      </c>
      <c r="BH146">
        <v>-47.222222222222172</v>
      </c>
      <c r="BI146">
        <v>-3.9351851851851811</v>
      </c>
      <c r="BK146" t="s">
        <v>116</v>
      </c>
      <c r="BL146">
        <v>0</v>
      </c>
      <c r="BM146">
        <v>-850</v>
      </c>
      <c r="BR146">
        <v>0</v>
      </c>
      <c r="BS146">
        <v>0</v>
      </c>
      <c r="BW146" t="s">
        <v>167</v>
      </c>
      <c r="BX146" t="s">
        <v>168</v>
      </c>
      <c r="BZ146" t="s">
        <v>946</v>
      </c>
    </row>
    <row r="147" spans="1:78">
      <c r="A147" t="s">
        <v>321</v>
      </c>
      <c r="B147" t="s">
        <v>887</v>
      </c>
      <c r="C147" t="s">
        <v>54</v>
      </c>
      <c r="D147" t="s">
        <v>1</v>
      </c>
      <c r="E147" t="s">
        <v>115</v>
      </c>
      <c r="F147" t="s">
        <v>99</v>
      </c>
      <c r="G147" t="s">
        <v>100</v>
      </c>
      <c r="H147" t="s">
        <v>128</v>
      </c>
      <c r="I147" t="s">
        <v>100</v>
      </c>
      <c r="J147" t="s">
        <v>101</v>
      </c>
      <c r="K147" t="s">
        <v>559</v>
      </c>
      <c r="L147" t="s">
        <v>559</v>
      </c>
      <c r="M147" t="s">
        <v>100</v>
      </c>
      <c r="N147" t="s">
        <v>467</v>
      </c>
      <c r="O147" t="s">
        <v>100</v>
      </c>
      <c r="Q147" t="s">
        <v>467</v>
      </c>
      <c r="R147" t="s">
        <v>119</v>
      </c>
      <c r="S147" t="s">
        <v>130</v>
      </c>
      <c r="T147" t="s">
        <v>120</v>
      </c>
      <c r="U147" t="s">
        <v>101</v>
      </c>
      <c r="V147" t="s">
        <v>121</v>
      </c>
      <c r="W147" t="s">
        <v>122</v>
      </c>
      <c r="X147" t="s">
        <v>123</v>
      </c>
      <c r="Y147">
        <v>1</v>
      </c>
      <c r="Z147" t="s">
        <v>583</v>
      </c>
      <c r="AA147" s="280">
        <v>40479</v>
      </c>
      <c r="AB147" t="s">
        <v>114</v>
      </c>
      <c r="AC147" t="s">
        <v>124</v>
      </c>
      <c r="AD147" s="280">
        <v>44651</v>
      </c>
      <c r="AE147" t="s">
        <v>125</v>
      </c>
      <c r="AF147">
        <v>6</v>
      </c>
      <c r="AG147">
        <v>0</v>
      </c>
      <c r="AH147">
        <v>0</v>
      </c>
      <c r="AI147" t="s">
        <v>126</v>
      </c>
      <c r="AL147">
        <v>1</v>
      </c>
      <c r="AN147">
        <v>1</v>
      </c>
      <c r="AO147">
        <v>0</v>
      </c>
      <c r="AP147" t="s">
        <v>1050</v>
      </c>
      <c r="AR147" t="s">
        <v>127</v>
      </c>
      <c r="AS147">
        <v>2211.6</v>
      </c>
      <c r="AU147">
        <v>0</v>
      </c>
      <c r="AV147">
        <v>0</v>
      </c>
      <c r="AW147">
        <v>0</v>
      </c>
      <c r="AX147">
        <v>2211.6</v>
      </c>
      <c r="AY147">
        <v>122.86666666666679</v>
      </c>
      <c r="AZ147">
        <v>0</v>
      </c>
      <c r="BC147">
        <v>-2088.7333333333331</v>
      </c>
      <c r="BE147" t="s">
        <v>114</v>
      </c>
      <c r="BH147">
        <v>-122.86666666666679</v>
      </c>
      <c r="BI147">
        <v>-10.2388888888889</v>
      </c>
      <c r="BK147" t="s">
        <v>116</v>
      </c>
      <c r="BL147">
        <v>0</v>
      </c>
      <c r="BM147">
        <v>-2211.6</v>
      </c>
      <c r="BR147">
        <v>0</v>
      </c>
      <c r="BS147">
        <v>0</v>
      </c>
      <c r="BW147" t="s">
        <v>167</v>
      </c>
      <c r="BX147" t="s">
        <v>168</v>
      </c>
      <c r="BZ147" t="s">
        <v>976</v>
      </c>
    </row>
    <row r="148" spans="1:78">
      <c r="A148" t="s">
        <v>322</v>
      </c>
      <c r="B148" t="s">
        <v>887</v>
      </c>
      <c r="C148" t="s">
        <v>54</v>
      </c>
      <c r="D148" t="s">
        <v>1</v>
      </c>
      <c r="E148" t="s">
        <v>115</v>
      </c>
      <c r="F148" t="s">
        <v>99</v>
      </c>
      <c r="G148" t="s">
        <v>100</v>
      </c>
      <c r="H148" t="s">
        <v>128</v>
      </c>
      <c r="I148" t="s">
        <v>100</v>
      </c>
      <c r="J148" t="s">
        <v>101</v>
      </c>
      <c r="K148" t="s">
        <v>559</v>
      </c>
      <c r="L148" t="s">
        <v>559</v>
      </c>
      <c r="M148" t="s">
        <v>100</v>
      </c>
      <c r="N148" t="s">
        <v>467</v>
      </c>
      <c r="O148" t="s">
        <v>100</v>
      </c>
      <c r="Q148" t="s">
        <v>467</v>
      </c>
      <c r="R148" t="s">
        <v>119</v>
      </c>
      <c r="S148" t="s">
        <v>130</v>
      </c>
      <c r="T148" t="s">
        <v>120</v>
      </c>
      <c r="U148" t="s">
        <v>101</v>
      </c>
      <c r="V148" t="s">
        <v>121</v>
      </c>
      <c r="W148" t="s">
        <v>122</v>
      </c>
      <c r="X148" t="s">
        <v>123</v>
      </c>
      <c r="Y148">
        <v>1</v>
      </c>
      <c r="Z148" t="s">
        <v>583</v>
      </c>
      <c r="AA148" s="280">
        <v>40479</v>
      </c>
      <c r="AB148" t="s">
        <v>114</v>
      </c>
      <c r="AC148" t="s">
        <v>124</v>
      </c>
      <c r="AD148" s="280">
        <v>44651</v>
      </c>
      <c r="AE148" t="s">
        <v>125</v>
      </c>
      <c r="AF148">
        <v>6</v>
      </c>
      <c r="AG148">
        <v>0</v>
      </c>
      <c r="AH148">
        <v>0</v>
      </c>
      <c r="AI148" t="s">
        <v>126</v>
      </c>
      <c r="AL148">
        <v>1</v>
      </c>
      <c r="AN148">
        <v>1</v>
      </c>
      <c r="AO148">
        <v>0</v>
      </c>
      <c r="AP148" t="s">
        <v>1050</v>
      </c>
      <c r="AR148" t="s">
        <v>127</v>
      </c>
      <c r="AS148">
        <v>2211.6</v>
      </c>
      <c r="AU148">
        <v>0</v>
      </c>
      <c r="AV148">
        <v>0</v>
      </c>
      <c r="AW148">
        <v>0</v>
      </c>
      <c r="AX148">
        <v>2211.6</v>
      </c>
      <c r="AY148">
        <v>122.86666666666679</v>
      </c>
      <c r="AZ148">
        <v>0</v>
      </c>
      <c r="BC148">
        <v>-2088.7333333333331</v>
      </c>
      <c r="BE148" t="s">
        <v>114</v>
      </c>
      <c r="BH148">
        <v>-122.86666666666679</v>
      </c>
      <c r="BI148">
        <v>-10.2388888888889</v>
      </c>
      <c r="BK148" t="s">
        <v>116</v>
      </c>
      <c r="BL148">
        <v>0</v>
      </c>
      <c r="BM148">
        <v>-2211.6</v>
      </c>
      <c r="BR148">
        <v>0</v>
      </c>
      <c r="BS148">
        <v>0</v>
      </c>
      <c r="BW148" t="s">
        <v>167</v>
      </c>
      <c r="BX148" t="s">
        <v>168</v>
      </c>
      <c r="BZ148" t="s">
        <v>976</v>
      </c>
    </row>
    <row r="149" spans="1:78">
      <c r="A149" t="s">
        <v>323</v>
      </c>
      <c r="B149" t="s">
        <v>887</v>
      </c>
      <c r="C149" t="s">
        <v>54</v>
      </c>
      <c r="D149" t="s">
        <v>1</v>
      </c>
      <c r="E149" t="s">
        <v>115</v>
      </c>
      <c r="F149" t="s">
        <v>99</v>
      </c>
      <c r="G149" t="s">
        <v>100</v>
      </c>
      <c r="H149" t="s">
        <v>128</v>
      </c>
      <c r="I149" t="s">
        <v>100</v>
      </c>
      <c r="J149" t="s">
        <v>101</v>
      </c>
      <c r="K149" t="s">
        <v>559</v>
      </c>
      <c r="L149" t="s">
        <v>559</v>
      </c>
      <c r="M149" t="s">
        <v>100</v>
      </c>
      <c r="N149" t="s">
        <v>467</v>
      </c>
      <c r="O149" t="s">
        <v>100</v>
      </c>
      <c r="Q149" t="s">
        <v>467</v>
      </c>
      <c r="R149" t="s">
        <v>119</v>
      </c>
      <c r="S149" t="s">
        <v>130</v>
      </c>
      <c r="T149" t="s">
        <v>120</v>
      </c>
      <c r="U149" t="s">
        <v>101</v>
      </c>
      <c r="V149" t="s">
        <v>121</v>
      </c>
      <c r="W149" t="s">
        <v>122</v>
      </c>
      <c r="X149" t="s">
        <v>123</v>
      </c>
      <c r="Y149">
        <v>1</v>
      </c>
      <c r="Z149" t="s">
        <v>583</v>
      </c>
      <c r="AA149" s="280">
        <v>40479</v>
      </c>
      <c r="AB149" t="s">
        <v>114</v>
      </c>
      <c r="AC149" t="s">
        <v>124</v>
      </c>
      <c r="AD149" s="280">
        <v>44651</v>
      </c>
      <c r="AE149" t="s">
        <v>125</v>
      </c>
      <c r="AF149">
        <v>6</v>
      </c>
      <c r="AG149">
        <v>0</v>
      </c>
      <c r="AH149">
        <v>0</v>
      </c>
      <c r="AI149" t="s">
        <v>126</v>
      </c>
      <c r="AL149">
        <v>1</v>
      </c>
      <c r="AN149">
        <v>1</v>
      </c>
      <c r="AO149">
        <v>0</v>
      </c>
      <c r="AP149" t="s">
        <v>1050</v>
      </c>
      <c r="AR149" t="s">
        <v>127</v>
      </c>
      <c r="AS149">
        <v>2211.6</v>
      </c>
      <c r="AU149">
        <v>0</v>
      </c>
      <c r="AV149">
        <v>0</v>
      </c>
      <c r="AW149">
        <v>0</v>
      </c>
      <c r="AX149">
        <v>2211.6</v>
      </c>
      <c r="AY149">
        <v>122.86666666666679</v>
      </c>
      <c r="AZ149">
        <v>0</v>
      </c>
      <c r="BC149">
        <v>-2088.7333333333331</v>
      </c>
      <c r="BE149" t="s">
        <v>114</v>
      </c>
      <c r="BH149">
        <v>-122.86666666666679</v>
      </c>
      <c r="BI149">
        <v>-10.2388888888889</v>
      </c>
      <c r="BK149" t="s">
        <v>116</v>
      </c>
      <c r="BL149">
        <v>0</v>
      </c>
      <c r="BM149">
        <v>-2211.6</v>
      </c>
      <c r="BR149">
        <v>0</v>
      </c>
      <c r="BS149">
        <v>0</v>
      </c>
      <c r="BW149" t="s">
        <v>167</v>
      </c>
      <c r="BX149" t="s">
        <v>168</v>
      </c>
      <c r="BZ149" t="s">
        <v>976</v>
      </c>
    </row>
    <row r="150" spans="1:78">
      <c r="A150" t="s">
        <v>324</v>
      </c>
      <c r="B150" t="s">
        <v>887</v>
      </c>
      <c r="C150" t="s">
        <v>54</v>
      </c>
      <c r="D150" t="s">
        <v>1</v>
      </c>
      <c r="E150" t="s">
        <v>115</v>
      </c>
      <c r="F150" t="s">
        <v>99</v>
      </c>
      <c r="G150" t="s">
        <v>100</v>
      </c>
      <c r="H150" t="s">
        <v>128</v>
      </c>
      <c r="I150" t="s">
        <v>100</v>
      </c>
      <c r="J150" t="s">
        <v>101</v>
      </c>
      <c r="K150" t="s">
        <v>559</v>
      </c>
      <c r="L150" t="s">
        <v>559</v>
      </c>
      <c r="M150" t="s">
        <v>100</v>
      </c>
      <c r="N150" t="s">
        <v>467</v>
      </c>
      <c r="O150" t="s">
        <v>100</v>
      </c>
      <c r="Q150" t="s">
        <v>467</v>
      </c>
      <c r="R150" t="s">
        <v>119</v>
      </c>
      <c r="S150" t="s">
        <v>130</v>
      </c>
      <c r="T150" t="s">
        <v>120</v>
      </c>
      <c r="U150" t="s">
        <v>101</v>
      </c>
      <c r="V150" t="s">
        <v>121</v>
      </c>
      <c r="W150" t="s">
        <v>122</v>
      </c>
      <c r="X150" t="s">
        <v>123</v>
      </c>
      <c r="Y150">
        <v>1</v>
      </c>
      <c r="Z150" t="s">
        <v>583</v>
      </c>
      <c r="AA150" s="280">
        <v>40479</v>
      </c>
      <c r="AB150" t="s">
        <v>114</v>
      </c>
      <c r="AC150" t="s">
        <v>124</v>
      </c>
      <c r="AD150" s="280">
        <v>44651</v>
      </c>
      <c r="AE150" t="s">
        <v>125</v>
      </c>
      <c r="AF150">
        <v>6</v>
      </c>
      <c r="AG150">
        <v>0</v>
      </c>
      <c r="AH150">
        <v>0</v>
      </c>
      <c r="AI150" t="s">
        <v>126</v>
      </c>
      <c r="AL150">
        <v>1</v>
      </c>
      <c r="AN150">
        <v>1</v>
      </c>
      <c r="AO150">
        <v>0</v>
      </c>
      <c r="AP150" t="s">
        <v>1050</v>
      </c>
      <c r="AR150" t="s">
        <v>127</v>
      </c>
      <c r="AS150">
        <v>2211.6</v>
      </c>
      <c r="AU150">
        <v>0</v>
      </c>
      <c r="AV150">
        <v>0</v>
      </c>
      <c r="AW150">
        <v>0</v>
      </c>
      <c r="AX150">
        <v>2211.6</v>
      </c>
      <c r="AY150">
        <v>122.86666666666679</v>
      </c>
      <c r="AZ150">
        <v>0</v>
      </c>
      <c r="BC150">
        <v>-2088.7333333333331</v>
      </c>
      <c r="BE150" t="s">
        <v>114</v>
      </c>
      <c r="BH150">
        <v>-122.86666666666679</v>
      </c>
      <c r="BI150">
        <v>-10.2388888888889</v>
      </c>
      <c r="BK150" t="s">
        <v>116</v>
      </c>
      <c r="BL150">
        <v>0</v>
      </c>
      <c r="BM150">
        <v>-2211.6</v>
      </c>
      <c r="BR150">
        <v>0</v>
      </c>
      <c r="BS150">
        <v>0</v>
      </c>
      <c r="BW150" t="s">
        <v>167</v>
      </c>
      <c r="BX150" t="s">
        <v>168</v>
      </c>
      <c r="BZ150" t="s">
        <v>976</v>
      </c>
    </row>
    <row r="151" spans="1:78">
      <c r="A151" t="s">
        <v>325</v>
      </c>
      <c r="B151" t="s">
        <v>887</v>
      </c>
      <c r="C151" t="s">
        <v>54</v>
      </c>
      <c r="D151" t="s">
        <v>1</v>
      </c>
      <c r="E151" t="s">
        <v>115</v>
      </c>
      <c r="F151" t="s">
        <v>99</v>
      </c>
      <c r="G151" t="s">
        <v>100</v>
      </c>
      <c r="H151" t="s">
        <v>128</v>
      </c>
      <c r="I151" t="s">
        <v>100</v>
      </c>
      <c r="J151" t="s">
        <v>101</v>
      </c>
      <c r="K151" t="s">
        <v>559</v>
      </c>
      <c r="L151" t="s">
        <v>559</v>
      </c>
      <c r="M151" t="s">
        <v>100</v>
      </c>
      <c r="N151" t="s">
        <v>467</v>
      </c>
      <c r="O151" t="s">
        <v>100</v>
      </c>
      <c r="Q151" t="s">
        <v>467</v>
      </c>
      <c r="R151" t="s">
        <v>119</v>
      </c>
      <c r="S151" t="s">
        <v>130</v>
      </c>
      <c r="T151" t="s">
        <v>120</v>
      </c>
      <c r="U151" t="s">
        <v>101</v>
      </c>
      <c r="V151" t="s">
        <v>121</v>
      </c>
      <c r="W151" t="s">
        <v>122</v>
      </c>
      <c r="X151" t="s">
        <v>123</v>
      </c>
      <c r="Y151">
        <v>1</v>
      </c>
      <c r="Z151" t="s">
        <v>583</v>
      </c>
      <c r="AA151" s="280">
        <v>40479</v>
      </c>
      <c r="AB151" t="s">
        <v>114</v>
      </c>
      <c r="AC151" t="s">
        <v>124</v>
      </c>
      <c r="AD151" s="280">
        <v>44651</v>
      </c>
      <c r="AE151" t="s">
        <v>125</v>
      </c>
      <c r="AF151">
        <v>6</v>
      </c>
      <c r="AG151">
        <v>0</v>
      </c>
      <c r="AH151">
        <v>0</v>
      </c>
      <c r="AI151" t="s">
        <v>126</v>
      </c>
      <c r="AL151">
        <v>1</v>
      </c>
      <c r="AN151">
        <v>1</v>
      </c>
      <c r="AO151">
        <v>0</v>
      </c>
      <c r="AP151" t="s">
        <v>1050</v>
      </c>
      <c r="AR151" t="s">
        <v>127</v>
      </c>
      <c r="AS151">
        <v>2211.6</v>
      </c>
      <c r="AU151">
        <v>0</v>
      </c>
      <c r="AV151">
        <v>0</v>
      </c>
      <c r="AW151">
        <v>0</v>
      </c>
      <c r="AX151">
        <v>2211.6</v>
      </c>
      <c r="AY151">
        <v>122.86666666666679</v>
      </c>
      <c r="AZ151">
        <v>0</v>
      </c>
      <c r="BC151">
        <v>-2088.7333333333331</v>
      </c>
      <c r="BE151" t="s">
        <v>114</v>
      </c>
      <c r="BH151">
        <v>-122.86666666666679</v>
      </c>
      <c r="BI151">
        <v>-10.2388888888889</v>
      </c>
      <c r="BK151" t="s">
        <v>116</v>
      </c>
      <c r="BL151">
        <v>0</v>
      </c>
      <c r="BM151">
        <v>-2211.6</v>
      </c>
      <c r="BR151">
        <v>0</v>
      </c>
      <c r="BS151">
        <v>0</v>
      </c>
      <c r="BW151" t="s">
        <v>167</v>
      </c>
      <c r="BX151" t="s">
        <v>168</v>
      </c>
      <c r="BZ151" t="s">
        <v>976</v>
      </c>
    </row>
    <row r="152" spans="1:78">
      <c r="A152" t="s">
        <v>326</v>
      </c>
      <c r="B152" t="s">
        <v>887</v>
      </c>
      <c r="C152" t="s">
        <v>54</v>
      </c>
      <c r="D152" t="s">
        <v>1</v>
      </c>
      <c r="E152" t="s">
        <v>115</v>
      </c>
      <c r="F152" t="s">
        <v>99</v>
      </c>
      <c r="G152" t="s">
        <v>100</v>
      </c>
      <c r="H152" t="s">
        <v>128</v>
      </c>
      <c r="I152" t="s">
        <v>100</v>
      </c>
      <c r="J152" t="s">
        <v>101</v>
      </c>
      <c r="K152" t="s">
        <v>559</v>
      </c>
      <c r="L152" t="s">
        <v>559</v>
      </c>
      <c r="M152" t="s">
        <v>100</v>
      </c>
      <c r="N152" t="s">
        <v>467</v>
      </c>
      <c r="O152" t="s">
        <v>100</v>
      </c>
      <c r="Q152" t="s">
        <v>467</v>
      </c>
      <c r="R152" t="s">
        <v>119</v>
      </c>
      <c r="S152" t="s">
        <v>130</v>
      </c>
      <c r="T152" t="s">
        <v>120</v>
      </c>
      <c r="U152" t="s">
        <v>101</v>
      </c>
      <c r="V152" t="s">
        <v>121</v>
      </c>
      <c r="W152" t="s">
        <v>122</v>
      </c>
      <c r="X152" t="s">
        <v>123</v>
      </c>
      <c r="Y152">
        <v>1</v>
      </c>
      <c r="Z152" t="s">
        <v>583</v>
      </c>
      <c r="AA152" s="280">
        <v>40479</v>
      </c>
      <c r="AB152" t="s">
        <v>114</v>
      </c>
      <c r="AC152" t="s">
        <v>124</v>
      </c>
      <c r="AD152" s="280">
        <v>44651</v>
      </c>
      <c r="AE152" t="s">
        <v>125</v>
      </c>
      <c r="AF152">
        <v>6</v>
      </c>
      <c r="AG152">
        <v>0</v>
      </c>
      <c r="AH152">
        <v>0</v>
      </c>
      <c r="AI152" t="s">
        <v>126</v>
      </c>
      <c r="AL152">
        <v>1</v>
      </c>
      <c r="AN152">
        <v>1</v>
      </c>
      <c r="AO152">
        <v>0</v>
      </c>
      <c r="AP152" t="s">
        <v>1050</v>
      </c>
      <c r="AR152" t="s">
        <v>127</v>
      </c>
      <c r="AS152">
        <v>2211.6</v>
      </c>
      <c r="AU152">
        <v>0</v>
      </c>
      <c r="AV152">
        <v>0</v>
      </c>
      <c r="AW152">
        <v>0</v>
      </c>
      <c r="AX152">
        <v>2211.6</v>
      </c>
      <c r="AY152">
        <v>122.86666666666679</v>
      </c>
      <c r="AZ152">
        <v>0</v>
      </c>
      <c r="BC152">
        <v>-2088.7333333333331</v>
      </c>
      <c r="BE152" t="s">
        <v>114</v>
      </c>
      <c r="BH152">
        <v>-122.86666666666679</v>
      </c>
      <c r="BI152">
        <v>-10.2388888888889</v>
      </c>
      <c r="BK152" t="s">
        <v>116</v>
      </c>
      <c r="BL152">
        <v>0</v>
      </c>
      <c r="BM152">
        <v>-2211.6</v>
      </c>
      <c r="BR152">
        <v>0</v>
      </c>
      <c r="BS152">
        <v>0</v>
      </c>
      <c r="BW152" t="s">
        <v>167</v>
      </c>
      <c r="BX152" t="s">
        <v>168</v>
      </c>
      <c r="BZ152" t="s">
        <v>976</v>
      </c>
    </row>
    <row r="153" spans="1:78">
      <c r="A153" t="s">
        <v>327</v>
      </c>
      <c r="B153" t="s">
        <v>887</v>
      </c>
      <c r="C153" t="s">
        <v>54</v>
      </c>
      <c r="D153" t="s">
        <v>1</v>
      </c>
      <c r="E153" t="s">
        <v>115</v>
      </c>
      <c r="F153" t="s">
        <v>99</v>
      </c>
      <c r="G153" t="s">
        <v>100</v>
      </c>
      <c r="H153" t="s">
        <v>128</v>
      </c>
      <c r="I153" t="s">
        <v>100</v>
      </c>
      <c r="J153" t="s">
        <v>101</v>
      </c>
      <c r="K153" t="s">
        <v>559</v>
      </c>
      <c r="L153" t="s">
        <v>559</v>
      </c>
      <c r="M153" t="s">
        <v>100</v>
      </c>
      <c r="N153" t="s">
        <v>467</v>
      </c>
      <c r="O153" t="s">
        <v>100</v>
      </c>
      <c r="Q153" t="s">
        <v>467</v>
      </c>
      <c r="R153" t="s">
        <v>119</v>
      </c>
      <c r="S153" t="s">
        <v>130</v>
      </c>
      <c r="T153" t="s">
        <v>120</v>
      </c>
      <c r="U153" t="s">
        <v>101</v>
      </c>
      <c r="V153" t="s">
        <v>121</v>
      </c>
      <c r="W153" t="s">
        <v>122</v>
      </c>
      <c r="X153" t="s">
        <v>123</v>
      </c>
      <c r="Y153">
        <v>1</v>
      </c>
      <c r="Z153" t="s">
        <v>583</v>
      </c>
      <c r="AA153" s="280">
        <v>40479</v>
      </c>
      <c r="AB153" t="s">
        <v>114</v>
      </c>
      <c r="AC153" t="s">
        <v>124</v>
      </c>
      <c r="AD153" s="280">
        <v>44651</v>
      </c>
      <c r="AE153" t="s">
        <v>125</v>
      </c>
      <c r="AF153">
        <v>6</v>
      </c>
      <c r="AG153">
        <v>0</v>
      </c>
      <c r="AH153">
        <v>0</v>
      </c>
      <c r="AI153" t="s">
        <v>126</v>
      </c>
      <c r="AL153">
        <v>1</v>
      </c>
      <c r="AN153">
        <v>1</v>
      </c>
      <c r="AO153">
        <v>0</v>
      </c>
      <c r="AP153" t="s">
        <v>1050</v>
      </c>
      <c r="AR153" t="s">
        <v>127</v>
      </c>
      <c r="AS153">
        <v>3950.1</v>
      </c>
      <c r="AU153">
        <v>0</v>
      </c>
      <c r="AV153">
        <v>0</v>
      </c>
      <c r="AW153">
        <v>0</v>
      </c>
      <c r="AX153">
        <v>3950.1</v>
      </c>
      <c r="AY153">
        <v>219.45000000000027</v>
      </c>
      <c r="AZ153">
        <v>0</v>
      </c>
      <c r="BC153">
        <v>-3730.6499999999996</v>
      </c>
      <c r="BE153" t="s">
        <v>114</v>
      </c>
      <c r="BH153">
        <v>-219.45000000000027</v>
      </c>
      <c r="BI153">
        <v>-18.287500000000023</v>
      </c>
      <c r="BK153" t="s">
        <v>116</v>
      </c>
      <c r="BL153">
        <v>0</v>
      </c>
      <c r="BM153">
        <v>-3950.1</v>
      </c>
      <c r="BR153">
        <v>0</v>
      </c>
      <c r="BS153">
        <v>0</v>
      </c>
      <c r="BW153" t="s">
        <v>167</v>
      </c>
      <c r="BX153" t="s">
        <v>168</v>
      </c>
      <c r="BZ153" t="s">
        <v>959</v>
      </c>
    </row>
    <row r="154" spans="1:78">
      <c r="A154" t="s">
        <v>328</v>
      </c>
      <c r="B154" t="s">
        <v>887</v>
      </c>
      <c r="C154" t="s">
        <v>54</v>
      </c>
      <c r="D154" t="s">
        <v>1</v>
      </c>
      <c r="E154" t="s">
        <v>115</v>
      </c>
      <c r="F154" t="s">
        <v>99</v>
      </c>
      <c r="G154" t="s">
        <v>100</v>
      </c>
      <c r="H154" t="s">
        <v>128</v>
      </c>
      <c r="I154" t="s">
        <v>100</v>
      </c>
      <c r="J154" t="s">
        <v>101</v>
      </c>
      <c r="K154" t="s">
        <v>559</v>
      </c>
      <c r="L154" t="s">
        <v>559</v>
      </c>
      <c r="M154" t="s">
        <v>100</v>
      </c>
      <c r="N154" t="s">
        <v>467</v>
      </c>
      <c r="O154" t="s">
        <v>100</v>
      </c>
      <c r="Q154" t="s">
        <v>467</v>
      </c>
      <c r="R154" t="s">
        <v>119</v>
      </c>
      <c r="S154" t="s">
        <v>130</v>
      </c>
      <c r="T154" t="s">
        <v>120</v>
      </c>
      <c r="U154" t="s">
        <v>101</v>
      </c>
      <c r="V154" t="s">
        <v>121</v>
      </c>
      <c r="W154" t="s">
        <v>122</v>
      </c>
      <c r="X154" t="s">
        <v>123</v>
      </c>
      <c r="Y154">
        <v>1</v>
      </c>
      <c r="Z154" t="s">
        <v>583</v>
      </c>
      <c r="AA154" s="280">
        <v>40479</v>
      </c>
      <c r="AB154" t="s">
        <v>114</v>
      </c>
      <c r="AC154" t="s">
        <v>124</v>
      </c>
      <c r="AD154" s="280">
        <v>44651</v>
      </c>
      <c r="AE154" t="s">
        <v>125</v>
      </c>
      <c r="AF154">
        <v>6</v>
      </c>
      <c r="AG154">
        <v>0</v>
      </c>
      <c r="AH154">
        <v>0</v>
      </c>
      <c r="AI154" t="s">
        <v>126</v>
      </c>
      <c r="AL154">
        <v>1</v>
      </c>
      <c r="AN154">
        <v>1</v>
      </c>
      <c r="AO154">
        <v>0</v>
      </c>
      <c r="AP154" t="s">
        <v>1050</v>
      </c>
      <c r="AR154" t="s">
        <v>127</v>
      </c>
      <c r="AS154">
        <v>3950.1</v>
      </c>
      <c r="AU154">
        <v>0</v>
      </c>
      <c r="AV154">
        <v>0</v>
      </c>
      <c r="AW154">
        <v>0</v>
      </c>
      <c r="AX154">
        <v>3950.1</v>
      </c>
      <c r="AY154">
        <v>219.45000000000027</v>
      </c>
      <c r="AZ154">
        <v>0</v>
      </c>
      <c r="BC154">
        <v>-3730.6499999999996</v>
      </c>
      <c r="BE154" t="s">
        <v>114</v>
      </c>
      <c r="BH154">
        <v>-219.45000000000027</v>
      </c>
      <c r="BI154">
        <v>-18.287500000000023</v>
      </c>
      <c r="BK154" t="s">
        <v>116</v>
      </c>
      <c r="BL154">
        <v>0</v>
      </c>
      <c r="BM154">
        <v>-3950.1</v>
      </c>
      <c r="BR154">
        <v>0</v>
      </c>
      <c r="BS154">
        <v>0</v>
      </c>
      <c r="BW154" t="s">
        <v>167</v>
      </c>
      <c r="BX154" t="s">
        <v>168</v>
      </c>
      <c r="BZ154" t="s">
        <v>959</v>
      </c>
    </row>
    <row r="155" spans="1:78">
      <c r="A155" t="s">
        <v>329</v>
      </c>
      <c r="B155" t="s">
        <v>887</v>
      </c>
      <c r="C155" t="s">
        <v>54</v>
      </c>
      <c r="D155" t="s">
        <v>1</v>
      </c>
      <c r="E155" t="s">
        <v>115</v>
      </c>
      <c r="F155" t="s">
        <v>99</v>
      </c>
      <c r="G155" t="s">
        <v>100</v>
      </c>
      <c r="H155" t="s">
        <v>128</v>
      </c>
      <c r="I155" t="s">
        <v>100</v>
      </c>
      <c r="J155" t="s">
        <v>101</v>
      </c>
      <c r="K155" t="s">
        <v>559</v>
      </c>
      <c r="L155" t="s">
        <v>559</v>
      </c>
      <c r="M155" t="s">
        <v>100</v>
      </c>
      <c r="N155" t="s">
        <v>467</v>
      </c>
      <c r="O155" t="s">
        <v>100</v>
      </c>
      <c r="Q155" t="s">
        <v>467</v>
      </c>
      <c r="R155" t="s">
        <v>119</v>
      </c>
      <c r="S155" t="s">
        <v>130</v>
      </c>
      <c r="T155" t="s">
        <v>120</v>
      </c>
      <c r="U155" t="s">
        <v>101</v>
      </c>
      <c r="V155" t="s">
        <v>121</v>
      </c>
      <c r="W155" t="s">
        <v>122</v>
      </c>
      <c r="X155" t="s">
        <v>123</v>
      </c>
      <c r="Y155">
        <v>1</v>
      </c>
      <c r="Z155" t="s">
        <v>583</v>
      </c>
      <c r="AA155" s="280">
        <v>40479</v>
      </c>
      <c r="AB155" t="s">
        <v>114</v>
      </c>
      <c r="AC155" t="s">
        <v>124</v>
      </c>
      <c r="AD155" s="280">
        <v>44651</v>
      </c>
      <c r="AE155" t="s">
        <v>125</v>
      </c>
      <c r="AF155">
        <v>6</v>
      </c>
      <c r="AG155">
        <v>0</v>
      </c>
      <c r="AH155">
        <v>0</v>
      </c>
      <c r="AI155" t="s">
        <v>126</v>
      </c>
      <c r="AL155">
        <v>1</v>
      </c>
      <c r="AN155">
        <v>1</v>
      </c>
      <c r="AO155">
        <v>0</v>
      </c>
      <c r="AP155" t="s">
        <v>1050</v>
      </c>
      <c r="AR155" t="s">
        <v>127</v>
      </c>
      <c r="AS155">
        <v>3950.1</v>
      </c>
      <c r="AU155">
        <v>0</v>
      </c>
      <c r="AV155">
        <v>0</v>
      </c>
      <c r="AW155">
        <v>0</v>
      </c>
      <c r="AX155">
        <v>3950.1</v>
      </c>
      <c r="AY155">
        <v>219.45000000000027</v>
      </c>
      <c r="AZ155">
        <v>0</v>
      </c>
      <c r="BC155">
        <v>-3730.6499999999996</v>
      </c>
      <c r="BE155" t="s">
        <v>114</v>
      </c>
      <c r="BH155">
        <v>-219.45000000000027</v>
      </c>
      <c r="BI155">
        <v>-18.287500000000023</v>
      </c>
      <c r="BK155" t="s">
        <v>116</v>
      </c>
      <c r="BL155">
        <v>0</v>
      </c>
      <c r="BM155">
        <v>-3950.1</v>
      </c>
      <c r="BR155">
        <v>0</v>
      </c>
      <c r="BS155">
        <v>0</v>
      </c>
      <c r="BW155" t="s">
        <v>167</v>
      </c>
      <c r="BX155" t="s">
        <v>168</v>
      </c>
      <c r="BZ155" t="s">
        <v>959</v>
      </c>
    </row>
    <row r="156" spans="1:78">
      <c r="A156" t="s">
        <v>330</v>
      </c>
      <c r="B156" t="s">
        <v>887</v>
      </c>
      <c r="C156" t="s">
        <v>54</v>
      </c>
      <c r="D156" t="s">
        <v>1</v>
      </c>
      <c r="E156" t="s">
        <v>115</v>
      </c>
      <c r="F156" t="s">
        <v>99</v>
      </c>
      <c r="G156" t="s">
        <v>100</v>
      </c>
      <c r="H156" t="s">
        <v>128</v>
      </c>
      <c r="I156" t="s">
        <v>100</v>
      </c>
      <c r="J156" t="s">
        <v>101</v>
      </c>
      <c r="K156" t="s">
        <v>559</v>
      </c>
      <c r="L156" t="s">
        <v>559</v>
      </c>
      <c r="M156" t="s">
        <v>100</v>
      </c>
      <c r="N156" t="s">
        <v>467</v>
      </c>
      <c r="O156" t="s">
        <v>100</v>
      </c>
      <c r="Q156" t="s">
        <v>467</v>
      </c>
      <c r="R156" t="s">
        <v>119</v>
      </c>
      <c r="S156" t="s">
        <v>130</v>
      </c>
      <c r="T156" t="s">
        <v>120</v>
      </c>
      <c r="U156" t="s">
        <v>101</v>
      </c>
      <c r="V156" t="s">
        <v>121</v>
      </c>
      <c r="W156" t="s">
        <v>122</v>
      </c>
      <c r="X156" t="s">
        <v>123</v>
      </c>
      <c r="Y156">
        <v>1</v>
      </c>
      <c r="Z156" t="s">
        <v>583</v>
      </c>
      <c r="AA156" s="280">
        <v>40479</v>
      </c>
      <c r="AB156" t="s">
        <v>114</v>
      </c>
      <c r="AC156" t="s">
        <v>124</v>
      </c>
      <c r="AD156" s="280">
        <v>44651</v>
      </c>
      <c r="AE156" t="s">
        <v>125</v>
      </c>
      <c r="AF156">
        <v>6</v>
      </c>
      <c r="AG156">
        <v>0</v>
      </c>
      <c r="AH156">
        <v>0</v>
      </c>
      <c r="AI156" t="s">
        <v>126</v>
      </c>
      <c r="AL156">
        <v>1</v>
      </c>
      <c r="AN156">
        <v>1</v>
      </c>
      <c r="AO156">
        <v>0</v>
      </c>
      <c r="AP156" t="s">
        <v>1050</v>
      </c>
      <c r="AR156" t="s">
        <v>127</v>
      </c>
      <c r="AS156">
        <v>3950.1</v>
      </c>
      <c r="AU156">
        <v>0</v>
      </c>
      <c r="AV156">
        <v>0</v>
      </c>
      <c r="AW156">
        <v>0</v>
      </c>
      <c r="AX156">
        <v>3950.1</v>
      </c>
      <c r="AY156">
        <v>219.45000000000027</v>
      </c>
      <c r="AZ156">
        <v>0</v>
      </c>
      <c r="BC156">
        <v>-3730.6499999999996</v>
      </c>
      <c r="BE156" t="s">
        <v>114</v>
      </c>
      <c r="BH156">
        <v>-219.45000000000027</v>
      </c>
      <c r="BI156">
        <v>-18.287500000000023</v>
      </c>
      <c r="BK156" t="s">
        <v>116</v>
      </c>
      <c r="BL156">
        <v>0</v>
      </c>
      <c r="BM156">
        <v>-3950.1</v>
      </c>
      <c r="BR156">
        <v>0</v>
      </c>
      <c r="BS156">
        <v>0</v>
      </c>
      <c r="BW156" t="s">
        <v>167</v>
      </c>
      <c r="BX156" t="s">
        <v>168</v>
      </c>
      <c r="BZ156" t="s">
        <v>959</v>
      </c>
    </row>
    <row r="157" spans="1:78">
      <c r="A157" t="s">
        <v>331</v>
      </c>
      <c r="B157" t="s">
        <v>903</v>
      </c>
      <c r="C157" t="s">
        <v>54</v>
      </c>
      <c r="D157" t="s">
        <v>1</v>
      </c>
      <c r="E157" t="s">
        <v>115</v>
      </c>
      <c r="F157" t="s">
        <v>99</v>
      </c>
      <c r="G157" t="s">
        <v>100</v>
      </c>
      <c r="H157" t="s">
        <v>128</v>
      </c>
      <c r="I157" t="s">
        <v>100</v>
      </c>
      <c r="J157" t="s">
        <v>101</v>
      </c>
      <c r="K157" t="s">
        <v>559</v>
      </c>
      <c r="L157" t="s">
        <v>559</v>
      </c>
      <c r="M157" t="s">
        <v>100</v>
      </c>
      <c r="N157" t="s">
        <v>501</v>
      </c>
      <c r="O157" t="s">
        <v>100</v>
      </c>
      <c r="Q157" t="s">
        <v>501</v>
      </c>
      <c r="R157" t="s">
        <v>119</v>
      </c>
      <c r="S157" t="s">
        <v>130</v>
      </c>
      <c r="T157" t="s">
        <v>120</v>
      </c>
      <c r="U157" t="s">
        <v>101</v>
      </c>
      <c r="V157" t="s">
        <v>121</v>
      </c>
      <c r="W157" t="s">
        <v>122</v>
      </c>
      <c r="X157" t="s">
        <v>123</v>
      </c>
      <c r="Y157">
        <v>1</v>
      </c>
      <c r="Z157" t="s">
        <v>571</v>
      </c>
      <c r="AA157" s="280">
        <v>39304</v>
      </c>
      <c r="AB157" t="s">
        <v>114</v>
      </c>
      <c r="AC157" t="s">
        <v>124</v>
      </c>
      <c r="AD157" s="280">
        <v>44651</v>
      </c>
      <c r="AE157" t="s">
        <v>125</v>
      </c>
      <c r="AF157">
        <v>6</v>
      </c>
      <c r="AG157">
        <v>0</v>
      </c>
      <c r="AH157">
        <v>0</v>
      </c>
      <c r="AI157" t="s">
        <v>126</v>
      </c>
      <c r="AL157">
        <v>1</v>
      </c>
      <c r="AN157">
        <v>1</v>
      </c>
      <c r="AO157">
        <v>0</v>
      </c>
      <c r="AP157" t="s">
        <v>1050</v>
      </c>
      <c r="AR157" t="s">
        <v>127</v>
      </c>
      <c r="AS157">
        <v>3839.41</v>
      </c>
      <c r="AU157">
        <v>0</v>
      </c>
      <c r="AV157">
        <v>0</v>
      </c>
      <c r="AW157">
        <v>0</v>
      </c>
      <c r="AX157">
        <v>3839.41</v>
      </c>
      <c r="AY157">
        <v>213.30055555555555</v>
      </c>
      <c r="AZ157">
        <v>0</v>
      </c>
      <c r="BC157">
        <v>-3626.1094444444443</v>
      </c>
      <c r="BE157" t="s">
        <v>114</v>
      </c>
      <c r="BH157">
        <v>-213.30055555555555</v>
      </c>
      <c r="BI157">
        <v>-17.775046296296296</v>
      </c>
      <c r="BK157" t="s">
        <v>116</v>
      </c>
      <c r="BL157">
        <v>0</v>
      </c>
      <c r="BM157">
        <v>-3839.41</v>
      </c>
      <c r="BR157">
        <v>0</v>
      </c>
      <c r="BS157">
        <v>0</v>
      </c>
      <c r="BW157" t="s">
        <v>167</v>
      </c>
      <c r="BX157" t="s">
        <v>168</v>
      </c>
      <c r="BZ157" t="s">
        <v>994</v>
      </c>
    </row>
    <row r="158" spans="1:78">
      <c r="A158" t="s">
        <v>332</v>
      </c>
      <c r="B158">
        <v>0</v>
      </c>
      <c r="C158" t="s">
        <v>54</v>
      </c>
      <c r="D158" t="s">
        <v>1</v>
      </c>
      <c r="E158" t="s">
        <v>115</v>
      </c>
      <c r="F158" t="s">
        <v>99</v>
      </c>
      <c r="G158" t="s">
        <v>100</v>
      </c>
      <c r="H158" t="s">
        <v>128</v>
      </c>
      <c r="I158" t="s">
        <v>100</v>
      </c>
      <c r="J158" t="s">
        <v>101</v>
      </c>
      <c r="K158" t="s">
        <v>559</v>
      </c>
      <c r="L158" t="s">
        <v>559</v>
      </c>
      <c r="M158" t="s">
        <v>100</v>
      </c>
      <c r="N158" t="s">
        <v>480</v>
      </c>
      <c r="O158" t="s">
        <v>100</v>
      </c>
      <c r="Q158" t="s">
        <v>480</v>
      </c>
      <c r="R158" t="s">
        <v>119</v>
      </c>
      <c r="S158" t="s">
        <v>130</v>
      </c>
      <c r="T158" t="s">
        <v>120</v>
      </c>
      <c r="U158" t="s">
        <v>101</v>
      </c>
      <c r="V158" t="s">
        <v>121</v>
      </c>
      <c r="W158" t="s">
        <v>122</v>
      </c>
      <c r="X158" t="s">
        <v>123</v>
      </c>
      <c r="Y158">
        <v>1</v>
      </c>
      <c r="Z158" t="s">
        <v>574</v>
      </c>
      <c r="AA158" s="280">
        <v>39503</v>
      </c>
      <c r="AB158" t="s">
        <v>114</v>
      </c>
      <c r="AC158" t="s">
        <v>124</v>
      </c>
      <c r="AD158" s="280">
        <v>44651</v>
      </c>
      <c r="AE158" t="s">
        <v>125</v>
      </c>
      <c r="AF158">
        <v>6</v>
      </c>
      <c r="AG158">
        <v>0</v>
      </c>
      <c r="AH158">
        <v>0</v>
      </c>
      <c r="AI158" t="s">
        <v>126</v>
      </c>
      <c r="AL158">
        <v>1</v>
      </c>
      <c r="AN158">
        <v>1</v>
      </c>
      <c r="AO158">
        <v>0</v>
      </c>
      <c r="AP158">
        <v>0</v>
      </c>
      <c r="AR158" t="s">
        <v>127</v>
      </c>
      <c r="AS158">
        <v>850</v>
      </c>
      <c r="AU158">
        <v>0</v>
      </c>
      <c r="AV158">
        <v>0</v>
      </c>
      <c r="AW158">
        <v>0</v>
      </c>
      <c r="AX158">
        <v>850</v>
      </c>
      <c r="AY158">
        <v>47.222222222222172</v>
      </c>
      <c r="AZ158">
        <v>0</v>
      </c>
      <c r="BC158">
        <v>-802.77777777777783</v>
      </c>
      <c r="BE158" t="s">
        <v>114</v>
      </c>
      <c r="BH158">
        <v>-47.222222222222172</v>
      </c>
      <c r="BI158">
        <v>-3.9351851851851811</v>
      </c>
      <c r="BK158" t="s">
        <v>116</v>
      </c>
      <c r="BL158">
        <v>0</v>
      </c>
      <c r="BM158">
        <v>-850</v>
      </c>
      <c r="BR158">
        <v>0</v>
      </c>
      <c r="BS158">
        <v>0</v>
      </c>
      <c r="BW158" t="s">
        <v>167</v>
      </c>
      <c r="BX158" t="s">
        <v>168</v>
      </c>
      <c r="BZ158">
        <v>0</v>
      </c>
    </row>
    <row r="159" spans="1:78">
      <c r="A159" t="s">
        <v>333</v>
      </c>
      <c r="B159" t="s">
        <v>904</v>
      </c>
      <c r="C159" t="s">
        <v>54</v>
      </c>
      <c r="D159" t="s">
        <v>1</v>
      </c>
      <c r="E159" t="s">
        <v>115</v>
      </c>
      <c r="F159" t="s">
        <v>99</v>
      </c>
      <c r="G159" t="s">
        <v>100</v>
      </c>
      <c r="H159" t="s">
        <v>128</v>
      </c>
      <c r="I159" t="s">
        <v>100</v>
      </c>
      <c r="J159" t="s">
        <v>101</v>
      </c>
      <c r="K159" t="s">
        <v>559</v>
      </c>
      <c r="L159" t="s">
        <v>559</v>
      </c>
      <c r="M159" t="s">
        <v>100</v>
      </c>
      <c r="N159" t="s">
        <v>502</v>
      </c>
      <c r="O159" t="s">
        <v>100</v>
      </c>
      <c r="Q159" t="s">
        <v>502</v>
      </c>
      <c r="R159" t="s">
        <v>119</v>
      </c>
      <c r="S159" t="s">
        <v>130</v>
      </c>
      <c r="T159" t="s">
        <v>120</v>
      </c>
      <c r="U159" t="s">
        <v>101</v>
      </c>
      <c r="V159" t="s">
        <v>121</v>
      </c>
      <c r="W159" t="s">
        <v>122</v>
      </c>
      <c r="X159" t="s">
        <v>123</v>
      </c>
      <c r="Y159">
        <v>1</v>
      </c>
      <c r="Z159" t="s">
        <v>561</v>
      </c>
      <c r="AA159" s="280">
        <v>38071</v>
      </c>
      <c r="AB159" t="s">
        <v>114</v>
      </c>
      <c r="AC159" t="s">
        <v>124</v>
      </c>
      <c r="AD159" s="280">
        <v>44651</v>
      </c>
      <c r="AE159" t="s">
        <v>125</v>
      </c>
      <c r="AF159">
        <v>6</v>
      </c>
      <c r="AG159">
        <v>0</v>
      </c>
      <c r="AH159">
        <v>0</v>
      </c>
      <c r="AI159" t="s">
        <v>126</v>
      </c>
      <c r="AL159">
        <v>1</v>
      </c>
      <c r="AN159">
        <v>1</v>
      </c>
      <c r="AO159">
        <v>0</v>
      </c>
      <c r="AP159" t="s">
        <v>1050</v>
      </c>
      <c r="AR159" t="s">
        <v>127</v>
      </c>
      <c r="AS159">
        <v>1180.47</v>
      </c>
      <c r="AU159">
        <v>0</v>
      </c>
      <c r="AV159">
        <v>0</v>
      </c>
      <c r="AW159">
        <v>0</v>
      </c>
      <c r="AX159">
        <v>1180.47</v>
      </c>
      <c r="AY159">
        <v>65.581666666666706</v>
      </c>
      <c r="AZ159">
        <v>0</v>
      </c>
      <c r="BC159">
        <v>-1114.8883333333333</v>
      </c>
      <c r="BE159" t="s">
        <v>114</v>
      </c>
      <c r="BH159">
        <v>-65.581666666666706</v>
      </c>
      <c r="BI159">
        <v>-5.4651388888888919</v>
      </c>
      <c r="BK159" t="s">
        <v>116</v>
      </c>
      <c r="BL159">
        <v>0</v>
      </c>
      <c r="BM159">
        <v>-1180.47</v>
      </c>
      <c r="BR159">
        <v>0</v>
      </c>
      <c r="BS159">
        <v>0</v>
      </c>
      <c r="BW159" t="s">
        <v>167</v>
      </c>
      <c r="BX159" t="s">
        <v>168</v>
      </c>
      <c r="BZ159" t="s">
        <v>958</v>
      </c>
    </row>
    <row r="160" spans="1:78">
      <c r="A160" t="s">
        <v>334</v>
      </c>
      <c r="B160" t="s">
        <v>886</v>
      </c>
      <c r="C160" t="s">
        <v>54</v>
      </c>
      <c r="D160" t="s">
        <v>1</v>
      </c>
      <c r="E160" t="s">
        <v>115</v>
      </c>
      <c r="F160" t="s">
        <v>99</v>
      </c>
      <c r="G160" t="s">
        <v>100</v>
      </c>
      <c r="H160" t="s">
        <v>128</v>
      </c>
      <c r="I160" t="s">
        <v>100</v>
      </c>
      <c r="J160" t="s">
        <v>101</v>
      </c>
      <c r="K160" t="s">
        <v>559</v>
      </c>
      <c r="L160" t="s">
        <v>559</v>
      </c>
      <c r="M160" t="s">
        <v>100</v>
      </c>
      <c r="N160" t="s">
        <v>503</v>
      </c>
      <c r="O160" t="s">
        <v>100</v>
      </c>
      <c r="Q160" t="s">
        <v>503</v>
      </c>
      <c r="R160" t="s">
        <v>119</v>
      </c>
      <c r="S160" t="s">
        <v>130</v>
      </c>
      <c r="T160" t="s">
        <v>120</v>
      </c>
      <c r="U160" t="s">
        <v>101</v>
      </c>
      <c r="V160" t="s">
        <v>121</v>
      </c>
      <c r="W160" t="s">
        <v>122</v>
      </c>
      <c r="X160" t="s">
        <v>123</v>
      </c>
      <c r="Y160">
        <v>1</v>
      </c>
      <c r="Z160" t="s">
        <v>584</v>
      </c>
      <c r="AA160" s="280">
        <v>40956</v>
      </c>
      <c r="AB160" t="s">
        <v>114</v>
      </c>
      <c r="AC160" t="s">
        <v>124</v>
      </c>
      <c r="AD160" s="280">
        <v>44651</v>
      </c>
      <c r="AE160" t="s">
        <v>125</v>
      </c>
      <c r="AF160">
        <v>6</v>
      </c>
      <c r="AG160">
        <v>0</v>
      </c>
      <c r="AH160">
        <v>0</v>
      </c>
      <c r="AI160" t="s">
        <v>126</v>
      </c>
      <c r="AL160">
        <v>1</v>
      </c>
      <c r="AN160">
        <v>1</v>
      </c>
      <c r="AO160">
        <v>0</v>
      </c>
      <c r="AP160" t="s">
        <v>1050</v>
      </c>
      <c r="AR160" t="s">
        <v>127</v>
      </c>
      <c r="AS160">
        <v>900.6</v>
      </c>
      <c r="AU160">
        <v>0</v>
      </c>
      <c r="AV160">
        <v>0</v>
      </c>
      <c r="AW160">
        <v>0</v>
      </c>
      <c r="AX160">
        <v>900.6</v>
      </c>
      <c r="AY160">
        <v>50.033333333333417</v>
      </c>
      <c r="AZ160">
        <v>0</v>
      </c>
      <c r="BC160">
        <v>-850.56666666666661</v>
      </c>
      <c r="BE160" t="s">
        <v>114</v>
      </c>
      <c r="BH160">
        <v>-50.033333333333417</v>
      </c>
      <c r="BI160">
        <v>-4.1694444444444514</v>
      </c>
      <c r="BK160" t="s">
        <v>116</v>
      </c>
      <c r="BL160">
        <v>0</v>
      </c>
      <c r="BM160">
        <v>-900.6</v>
      </c>
      <c r="BR160">
        <v>0</v>
      </c>
      <c r="BS160">
        <v>0</v>
      </c>
      <c r="BW160" t="s">
        <v>167</v>
      </c>
      <c r="BX160" t="s">
        <v>168</v>
      </c>
      <c r="BZ160" t="s">
        <v>995</v>
      </c>
    </row>
    <row r="161" spans="1:78">
      <c r="A161" t="s">
        <v>335</v>
      </c>
      <c r="B161" t="s">
        <v>877</v>
      </c>
      <c r="C161" t="s">
        <v>54</v>
      </c>
      <c r="D161" t="s">
        <v>1</v>
      </c>
      <c r="E161" t="s">
        <v>115</v>
      </c>
      <c r="F161" t="s">
        <v>99</v>
      </c>
      <c r="G161" t="s">
        <v>100</v>
      </c>
      <c r="H161" t="s">
        <v>128</v>
      </c>
      <c r="I161" t="s">
        <v>100</v>
      </c>
      <c r="J161" t="s">
        <v>101</v>
      </c>
      <c r="K161" t="s">
        <v>559</v>
      </c>
      <c r="L161" t="s">
        <v>559</v>
      </c>
      <c r="M161" t="s">
        <v>100</v>
      </c>
      <c r="N161" t="s">
        <v>503</v>
      </c>
      <c r="O161" t="s">
        <v>100</v>
      </c>
      <c r="Q161" t="s">
        <v>503</v>
      </c>
      <c r="R161" t="s">
        <v>119</v>
      </c>
      <c r="S161" t="s">
        <v>130</v>
      </c>
      <c r="T161" t="s">
        <v>120</v>
      </c>
      <c r="U161" t="s">
        <v>101</v>
      </c>
      <c r="V161" t="s">
        <v>121</v>
      </c>
      <c r="W161" t="s">
        <v>122</v>
      </c>
      <c r="X161" t="s">
        <v>123</v>
      </c>
      <c r="Y161">
        <v>1</v>
      </c>
      <c r="Z161" t="s">
        <v>584</v>
      </c>
      <c r="AA161" s="280">
        <v>40956</v>
      </c>
      <c r="AB161" t="s">
        <v>114</v>
      </c>
      <c r="AC161" t="s">
        <v>124</v>
      </c>
      <c r="AD161" s="280">
        <v>44651</v>
      </c>
      <c r="AE161" t="s">
        <v>125</v>
      </c>
      <c r="AF161">
        <v>6</v>
      </c>
      <c r="AG161">
        <v>0</v>
      </c>
      <c r="AH161">
        <v>0</v>
      </c>
      <c r="AI161" t="s">
        <v>126</v>
      </c>
      <c r="AL161">
        <v>1</v>
      </c>
      <c r="AN161">
        <v>1</v>
      </c>
      <c r="AO161">
        <v>0</v>
      </c>
      <c r="AP161" t="s">
        <v>1052</v>
      </c>
      <c r="AR161" t="s">
        <v>127</v>
      </c>
      <c r="AS161">
        <v>900.6</v>
      </c>
      <c r="AU161">
        <v>0</v>
      </c>
      <c r="AV161">
        <v>0</v>
      </c>
      <c r="AW161">
        <v>0</v>
      </c>
      <c r="AX161">
        <v>900.6</v>
      </c>
      <c r="AY161">
        <v>50.033333333333417</v>
      </c>
      <c r="AZ161">
        <v>0</v>
      </c>
      <c r="BC161">
        <v>-850.56666666666661</v>
      </c>
      <c r="BE161" t="s">
        <v>114</v>
      </c>
      <c r="BH161">
        <v>-50.033333333333417</v>
      </c>
      <c r="BI161">
        <v>-4.1694444444444514</v>
      </c>
      <c r="BK161" t="s">
        <v>116</v>
      </c>
      <c r="BL161">
        <v>0</v>
      </c>
      <c r="BM161">
        <v>-900.6</v>
      </c>
      <c r="BR161">
        <v>0</v>
      </c>
      <c r="BS161">
        <v>0</v>
      </c>
      <c r="BW161" t="s">
        <v>167</v>
      </c>
      <c r="BX161" t="s">
        <v>168</v>
      </c>
      <c r="BZ161" t="s">
        <v>989</v>
      </c>
    </row>
    <row r="162" spans="1:78">
      <c r="A162">
        <v>1026</v>
      </c>
      <c r="B162" t="s">
        <v>851</v>
      </c>
      <c r="C162" t="s">
        <v>54</v>
      </c>
      <c r="D162" t="s">
        <v>1</v>
      </c>
      <c r="E162" t="s">
        <v>115</v>
      </c>
      <c r="F162" t="s">
        <v>99</v>
      </c>
      <c r="G162" t="s">
        <v>100</v>
      </c>
      <c r="H162" t="s">
        <v>128</v>
      </c>
      <c r="I162" t="s">
        <v>100</v>
      </c>
      <c r="J162" t="s">
        <v>101</v>
      </c>
      <c r="K162" t="s">
        <v>559</v>
      </c>
      <c r="L162" t="s">
        <v>559</v>
      </c>
      <c r="M162" t="s">
        <v>100</v>
      </c>
      <c r="N162" t="s">
        <v>503</v>
      </c>
      <c r="O162" t="s">
        <v>100</v>
      </c>
      <c r="Q162" t="s">
        <v>799</v>
      </c>
      <c r="R162" t="s">
        <v>119</v>
      </c>
      <c r="S162" t="s">
        <v>130</v>
      </c>
      <c r="T162" t="s">
        <v>120</v>
      </c>
      <c r="U162" t="s">
        <v>101</v>
      </c>
      <c r="V162" t="s">
        <v>121</v>
      </c>
      <c r="W162" t="s">
        <v>122</v>
      </c>
      <c r="X162" t="s">
        <v>123</v>
      </c>
      <c r="Y162">
        <v>1</v>
      </c>
      <c r="Z162" t="s">
        <v>584</v>
      </c>
      <c r="AA162" s="280">
        <v>40956</v>
      </c>
      <c r="AB162" t="s">
        <v>114</v>
      </c>
      <c r="AC162" t="s">
        <v>124</v>
      </c>
      <c r="AD162" s="280">
        <v>44651</v>
      </c>
      <c r="AE162" t="s">
        <v>125</v>
      </c>
      <c r="AF162">
        <v>6</v>
      </c>
      <c r="AG162">
        <v>0</v>
      </c>
      <c r="AH162">
        <v>0</v>
      </c>
      <c r="AI162" t="s">
        <v>126</v>
      </c>
      <c r="AL162">
        <v>1</v>
      </c>
      <c r="AN162">
        <v>1</v>
      </c>
      <c r="AO162">
        <v>0</v>
      </c>
      <c r="AP162" t="s">
        <v>1050</v>
      </c>
      <c r="AR162" t="s">
        <v>127</v>
      </c>
      <c r="AS162">
        <v>900.6</v>
      </c>
      <c r="AU162">
        <v>0</v>
      </c>
      <c r="AV162">
        <v>0</v>
      </c>
      <c r="AW162">
        <v>0</v>
      </c>
      <c r="AX162">
        <v>900.6</v>
      </c>
      <c r="AY162">
        <v>50.033333333333417</v>
      </c>
      <c r="AZ162">
        <v>0</v>
      </c>
      <c r="BC162">
        <v>-850.56666666666661</v>
      </c>
      <c r="BE162" t="s">
        <v>114</v>
      </c>
      <c r="BH162">
        <v>-50.033333333333417</v>
      </c>
      <c r="BI162">
        <v>-4.1694444444444514</v>
      </c>
      <c r="BK162" t="s">
        <v>116</v>
      </c>
      <c r="BL162">
        <v>0</v>
      </c>
      <c r="BM162">
        <v>-900.6</v>
      </c>
      <c r="BR162">
        <v>0</v>
      </c>
      <c r="BS162">
        <v>0</v>
      </c>
      <c r="BW162" t="s">
        <v>167</v>
      </c>
      <c r="BX162" t="s">
        <v>168</v>
      </c>
      <c r="BZ162" t="s">
        <v>966</v>
      </c>
    </row>
    <row r="163" spans="1:78">
      <c r="A163" t="s">
        <v>336</v>
      </c>
      <c r="B163" t="s">
        <v>866</v>
      </c>
      <c r="C163" t="s">
        <v>54</v>
      </c>
      <c r="D163" t="s">
        <v>1</v>
      </c>
      <c r="E163" t="s">
        <v>115</v>
      </c>
      <c r="F163" t="s">
        <v>99</v>
      </c>
      <c r="G163" t="s">
        <v>100</v>
      </c>
      <c r="H163" t="s">
        <v>128</v>
      </c>
      <c r="I163" t="s">
        <v>100</v>
      </c>
      <c r="J163" t="s">
        <v>101</v>
      </c>
      <c r="K163" t="s">
        <v>559</v>
      </c>
      <c r="L163" t="s">
        <v>559</v>
      </c>
      <c r="M163" t="s">
        <v>100</v>
      </c>
      <c r="N163" t="s">
        <v>504</v>
      </c>
      <c r="O163" t="s">
        <v>100</v>
      </c>
      <c r="Q163" t="s">
        <v>504</v>
      </c>
      <c r="R163" t="s">
        <v>119</v>
      </c>
      <c r="S163" t="s">
        <v>130</v>
      </c>
      <c r="T163" t="s">
        <v>120</v>
      </c>
      <c r="U163" t="s">
        <v>101</v>
      </c>
      <c r="V163" t="s">
        <v>121</v>
      </c>
      <c r="W163" t="s">
        <v>122</v>
      </c>
      <c r="X163" t="s">
        <v>123</v>
      </c>
      <c r="Y163">
        <v>1</v>
      </c>
      <c r="Z163" t="s">
        <v>584</v>
      </c>
      <c r="AA163" s="280">
        <v>40956</v>
      </c>
      <c r="AB163" t="s">
        <v>114</v>
      </c>
      <c r="AC163" t="s">
        <v>124</v>
      </c>
      <c r="AD163" s="280">
        <v>44651</v>
      </c>
      <c r="AE163" t="s">
        <v>125</v>
      </c>
      <c r="AF163">
        <v>6</v>
      </c>
      <c r="AG163">
        <v>0</v>
      </c>
      <c r="AH163">
        <v>0</v>
      </c>
      <c r="AI163" t="s">
        <v>126</v>
      </c>
      <c r="AL163">
        <v>1</v>
      </c>
      <c r="AN163">
        <v>1</v>
      </c>
      <c r="AO163">
        <v>0</v>
      </c>
      <c r="AP163" t="s">
        <v>1050</v>
      </c>
      <c r="AR163" t="s">
        <v>127</v>
      </c>
      <c r="AS163">
        <v>832.2</v>
      </c>
      <c r="AU163">
        <v>0</v>
      </c>
      <c r="AV163">
        <v>0</v>
      </c>
      <c r="AW163">
        <v>0</v>
      </c>
      <c r="AX163">
        <v>832.2</v>
      </c>
      <c r="AY163">
        <v>46.233333333333348</v>
      </c>
      <c r="AZ163">
        <v>0</v>
      </c>
      <c r="BC163">
        <v>-785.9666666666667</v>
      </c>
      <c r="BE163" t="s">
        <v>114</v>
      </c>
      <c r="BH163">
        <v>-46.233333333333348</v>
      </c>
      <c r="BI163">
        <v>-3.8527777777777792</v>
      </c>
      <c r="BK163" t="s">
        <v>116</v>
      </c>
      <c r="BL163">
        <v>0</v>
      </c>
      <c r="BM163">
        <v>-832.2</v>
      </c>
      <c r="BR163">
        <v>0</v>
      </c>
      <c r="BS163">
        <v>0</v>
      </c>
      <c r="BW163" t="s">
        <v>167</v>
      </c>
      <c r="BX163" t="s">
        <v>168</v>
      </c>
      <c r="BZ163" t="s">
        <v>950</v>
      </c>
    </row>
    <row r="164" spans="1:78">
      <c r="A164" t="s">
        <v>337</v>
      </c>
      <c r="B164" t="s">
        <v>905</v>
      </c>
      <c r="C164" t="s">
        <v>54</v>
      </c>
      <c r="D164" t="s">
        <v>1</v>
      </c>
      <c r="E164" t="s">
        <v>115</v>
      </c>
      <c r="F164" t="s">
        <v>99</v>
      </c>
      <c r="G164" t="s">
        <v>100</v>
      </c>
      <c r="H164" t="s">
        <v>128</v>
      </c>
      <c r="I164" t="s">
        <v>100</v>
      </c>
      <c r="J164" t="s">
        <v>101</v>
      </c>
      <c r="K164" t="s">
        <v>559</v>
      </c>
      <c r="L164" t="s">
        <v>559</v>
      </c>
      <c r="M164" t="s">
        <v>100</v>
      </c>
      <c r="N164" t="s">
        <v>505</v>
      </c>
      <c r="O164" t="s">
        <v>100</v>
      </c>
      <c r="Q164" t="s">
        <v>505</v>
      </c>
      <c r="R164" t="s">
        <v>119</v>
      </c>
      <c r="S164" t="s">
        <v>130</v>
      </c>
      <c r="T164" t="s">
        <v>120</v>
      </c>
      <c r="U164" t="s">
        <v>101</v>
      </c>
      <c r="V164" t="s">
        <v>121</v>
      </c>
      <c r="W164" t="s">
        <v>122</v>
      </c>
      <c r="X164" t="s">
        <v>123</v>
      </c>
      <c r="Y164">
        <v>1</v>
      </c>
      <c r="Z164" t="s">
        <v>584</v>
      </c>
      <c r="AA164" s="280">
        <v>40956</v>
      </c>
      <c r="AB164" t="s">
        <v>114</v>
      </c>
      <c r="AC164" t="s">
        <v>124</v>
      </c>
      <c r="AD164" s="280">
        <v>44651</v>
      </c>
      <c r="AE164" t="s">
        <v>125</v>
      </c>
      <c r="AF164">
        <v>6</v>
      </c>
      <c r="AG164">
        <v>0</v>
      </c>
      <c r="AH164">
        <v>0</v>
      </c>
      <c r="AI164" t="s">
        <v>126</v>
      </c>
      <c r="AL164">
        <v>1</v>
      </c>
      <c r="AN164">
        <v>1</v>
      </c>
      <c r="AO164">
        <v>0</v>
      </c>
      <c r="AP164" t="s">
        <v>1050</v>
      </c>
      <c r="AR164" t="s">
        <v>127</v>
      </c>
      <c r="AS164">
        <v>2040.6</v>
      </c>
      <c r="AU164">
        <v>0</v>
      </c>
      <c r="AV164">
        <v>0</v>
      </c>
      <c r="AW164">
        <v>0</v>
      </c>
      <c r="AX164">
        <v>2040.6</v>
      </c>
      <c r="AY164">
        <v>113.36666666666679</v>
      </c>
      <c r="AZ164">
        <v>0</v>
      </c>
      <c r="BC164">
        <v>-1927.2333333333331</v>
      </c>
      <c r="BE164" t="s">
        <v>114</v>
      </c>
      <c r="BH164">
        <v>-113.36666666666679</v>
      </c>
      <c r="BI164">
        <v>-9.4472222222222317</v>
      </c>
      <c r="BK164" t="s">
        <v>116</v>
      </c>
      <c r="BL164">
        <v>0</v>
      </c>
      <c r="BM164">
        <v>-2040.6</v>
      </c>
      <c r="BR164">
        <v>0</v>
      </c>
      <c r="BS164">
        <v>0</v>
      </c>
      <c r="BW164" t="s">
        <v>167</v>
      </c>
      <c r="BX164" t="s">
        <v>168</v>
      </c>
      <c r="BZ164" t="s">
        <v>996</v>
      </c>
    </row>
    <row r="165" spans="1:78">
      <c r="A165" t="s">
        <v>338</v>
      </c>
      <c r="B165" t="s">
        <v>866</v>
      </c>
      <c r="C165" t="s">
        <v>54</v>
      </c>
      <c r="D165" t="s">
        <v>1</v>
      </c>
      <c r="E165" t="s">
        <v>115</v>
      </c>
      <c r="F165" t="s">
        <v>99</v>
      </c>
      <c r="G165" t="s">
        <v>100</v>
      </c>
      <c r="H165" t="s">
        <v>128</v>
      </c>
      <c r="I165" t="s">
        <v>100</v>
      </c>
      <c r="J165" t="s">
        <v>101</v>
      </c>
      <c r="K165" t="s">
        <v>559</v>
      </c>
      <c r="L165" t="s">
        <v>559</v>
      </c>
      <c r="M165" t="s">
        <v>100</v>
      </c>
      <c r="N165" t="s">
        <v>505</v>
      </c>
      <c r="O165" t="s">
        <v>100</v>
      </c>
      <c r="Q165" t="s">
        <v>505</v>
      </c>
      <c r="R165" t="s">
        <v>119</v>
      </c>
      <c r="S165" t="s">
        <v>130</v>
      </c>
      <c r="T165" t="s">
        <v>120</v>
      </c>
      <c r="U165" t="s">
        <v>101</v>
      </c>
      <c r="V165" t="s">
        <v>121</v>
      </c>
      <c r="W165" t="s">
        <v>122</v>
      </c>
      <c r="X165" t="s">
        <v>123</v>
      </c>
      <c r="Y165">
        <v>1</v>
      </c>
      <c r="Z165" t="s">
        <v>584</v>
      </c>
      <c r="AA165" s="280">
        <v>40956</v>
      </c>
      <c r="AB165" t="s">
        <v>114</v>
      </c>
      <c r="AC165" t="s">
        <v>124</v>
      </c>
      <c r="AD165" s="280">
        <v>44651</v>
      </c>
      <c r="AE165" t="s">
        <v>125</v>
      </c>
      <c r="AF165">
        <v>6</v>
      </c>
      <c r="AG165">
        <v>0</v>
      </c>
      <c r="AH165">
        <v>0</v>
      </c>
      <c r="AI165" t="s">
        <v>126</v>
      </c>
      <c r="AL165">
        <v>1</v>
      </c>
      <c r="AN165">
        <v>1</v>
      </c>
      <c r="AO165">
        <v>0</v>
      </c>
      <c r="AP165" t="s">
        <v>1050</v>
      </c>
      <c r="AR165" t="s">
        <v>127</v>
      </c>
      <c r="AS165">
        <v>2040.6</v>
      </c>
      <c r="AU165">
        <v>0</v>
      </c>
      <c r="AV165">
        <v>0</v>
      </c>
      <c r="AW165">
        <v>0</v>
      </c>
      <c r="AX165">
        <v>2040.6</v>
      </c>
      <c r="AY165">
        <v>113.36666666666679</v>
      </c>
      <c r="AZ165">
        <v>0</v>
      </c>
      <c r="BC165">
        <v>-1927.2333333333331</v>
      </c>
      <c r="BE165" t="s">
        <v>114</v>
      </c>
      <c r="BH165">
        <v>-113.36666666666679</v>
      </c>
      <c r="BI165">
        <v>-9.4472222222222317</v>
      </c>
      <c r="BK165" t="s">
        <v>116</v>
      </c>
      <c r="BL165">
        <v>0</v>
      </c>
      <c r="BM165">
        <v>-2040.6</v>
      </c>
      <c r="BR165">
        <v>0</v>
      </c>
      <c r="BS165">
        <v>0</v>
      </c>
      <c r="BW165" t="s">
        <v>167</v>
      </c>
      <c r="BX165" t="s">
        <v>168</v>
      </c>
      <c r="BZ165" t="s">
        <v>950</v>
      </c>
    </row>
    <row r="166" spans="1:78">
      <c r="A166" t="s">
        <v>339</v>
      </c>
      <c r="B166" t="s">
        <v>866</v>
      </c>
      <c r="C166" t="s">
        <v>54</v>
      </c>
      <c r="D166" t="s">
        <v>1</v>
      </c>
      <c r="E166" t="s">
        <v>115</v>
      </c>
      <c r="F166" t="s">
        <v>99</v>
      </c>
      <c r="G166" t="s">
        <v>100</v>
      </c>
      <c r="H166" t="s">
        <v>128</v>
      </c>
      <c r="I166" t="s">
        <v>100</v>
      </c>
      <c r="J166" t="s">
        <v>101</v>
      </c>
      <c r="K166" t="s">
        <v>559</v>
      </c>
      <c r="L166" t="s">
        <v>559</v>
      </c>
      <c r="M166" t="s">
        <v>100</v>
      </c>
      <c r="N166" t="s">
        <v>505</v>
      </c>
      <c r="O166" t="s">
        <v>100</v>
      </c>
      <c r="Q166" t="s">
        <v>505</v>
      </c>
      <c r="R166" t="s">
        <v>119</v>
      </c>
      <c r="S166" t="s">
        <v>130</v>
      </c>
      <c r="T166" t="s">
        <v>120</v>
      </c>
      <c r="U166" t="s">
        <v>101</v>
      </c>
      <c r="V166" t="s">
        <v>121</v>
      </c>
      <c r="W166" t="s">
        <v>122</v>
      </c>
      <c r="X166" t="s">
        <v>123</v>
      </c>
      <c r="Y166">
        <v>1</v>
      </c>
      <c r="Z166" t="s">
        <v>584</v>
      </c>
      <c r="AA166" s="280">
        <v>40956</v>
      </c>
      <c r="AB166" t="s">
        <v>114</v>
      </c>
      <c r="AC166" t="s">
        <v>124</v>
      </c>
      <c r="AD166" s="280">
        <v>44651</v>
      </c>
      <c r="AE166" t="s">
        <v>125</v>
      </c>
      <c r="AF166">
        <v>6</v>
      </c>
      <c r="AG166">
        <v>0</v>
      </c>
      <c r="AH166">
        <v>0</v>
      </c>
      <c r="AI166" t="s">
        <v>126</v>
      </c>
      <c r="AL166">
        <v>1</v>
      </c>
      <c r="AN166">
        <v>1</v>
      </c>
      <c r="AO166">
        <v>0</v>
      </c>
      <c r="AP166" t="s">
        <v>1050</v>
      </c>
      <c r="AR166" t="s">
        <v>127</v>
      </c>
      <c r="AS166">
        <v>2040.6</v>
      </c>
      <c r="AU166">
        <v>0</v>
      </c>
      <c r="AV166">
        <v>0</v>
      </c>
      <c r="AW166">
        <v>0</v>
      </c>
      <c r="AX166">
        <v>2040.6</v>
      </c>
      <c r="AY166">
        <v>113.36666666666679</v>
      </c>
      <c r="AZ166">
        <v>0</v>
      </c>
      <c r="BC166">
        <v>-1927.2333333333331</v>
      </c>
      <c r="BE166" t="s">
        <v>114</v>
      </c>
      <c r="BH166">
        <v>-113.36666666666679</v>
      </c>
      <c r="BI166">
        <v>-9.4472222222222317</v>
      </c>
      <c r="BK166" t="s">
        <v>116</v>
      </c>
      <c r="BL166">
        <v>0</v>
      </c>
      <c r="BM166">
        <v>-2040.6</v>
      </c>
      <c r="BR166">
        <v>0</v>
      </c>
      <c r="BS166">
        <v>0</v>
      </c>
      <c r="BW166" t="s">
        <v>167</v>
      </c>
      <c r="BX166" t="s">
        <v>168</v>
      </c>
      <c r="BZ166" t="s">
        <v>950</v>
      </c>
    </row>
    <row r="167" spans="1:78">
      <c r="A167" t="s">
        <v>340</v>
      </c>
      <c r="B167" t="s">
        <v>859</v>
      </c>
      <c r="C167" t="s">
        <v>54</v>
      </c>
      <c r="D167" t="s">
        <v>1</v>
      </c>
      <c r="E167" t="s">
        <v>115</v>
      </c>
      <c r="F167" t="s">
        <v>99</v>
      </c>
      <c r="G167" t="s">
        <v>100</v>
      </c>
      <c r="H167" t="s">
        <v>128</v>
      </c>
      <c r="I167" t="s">
        <v>100</v>
      </c>
      <c r="J167" t="s">
        <v>101</v>
      </c>
      <c r="K167" t="s">
        <v>559</v>
      </c>
      <c r="L167" t="s">
        <v>559</v>
      </c>
      <c r="M167" t="s">
        <v>100</v>
      </c>
      <c r="N167" t="s">
        <v>506</v>
      </c>
      <c r="O167" t="s">
        <v>100</v>
      </c>
      <c r="Q167" t="s">
        <v>506</v>
      </c>
      <c r="R167" t="s">
        <v>119</v>
      </c>
      <c r="S167" t="s">
        <v>130</v>
      </c>
      <c r="T167" t="s">
        <v>120</v>
      </c>
      <c r="U167" t="s">
        <v>101</v>
      </c>
      <c r="V167" t="s">
        <v>121</v>
      </c>
      <c r="W167" t="s">
        <v>122</v>
      </c>
      <c r="X167" t="s">
        <v>123</v>
      </c>
      <c r="Y167">
        <v>1</v>
      </c>
      <c r="Z167" t="s">
        <v>584</v>
      </c>
      <c r="AA167" s="280">
        <v>40956</v>
      </c>
      <c r="AB167" t="s">
        <v>114</v>
      </c>
      <c r="AC167" t="s">
        <v>124</v>
      </c>
      <c r="AD167" s="280">
        <v>44651</v>
      </c>
      <c r="AE167" t="s">
        <v>125</v>
      </c>
      <c r="AF167">
        <v>6</v>
      </c>
      <c r="AG167">
        <v>0</v>
      </c>
      <c r="AH167">
        <v>0</v>
      </c>
      <c r="AI167" t="s">
        <v>126</v>
      </c>
      <c r="AL167">
        <v>1</v>
      </c>
      <c r="AN167">
        <v>1</v>
      </c>
      <c r="AO167">
        <v>0</v>
      </c>
      <c r="AP167" t="s">
        <v>1054</v>
      </c>
      <c r="AR167" t="s">
        <v>127</v>
      </c>
      <c r="AS167">
        <v>2793</v>
      </c>
      <c r="AU167">
        <v>0</v>
      </c>
      <c r="AV167">
        <v>0</v>
      </c>
      <c r="AW167">
        <v>0</v>
      </c>
      <c r="AX167">
        <v>2793</v>
      </c>
      <c r="AY167">
        <v>155.16666666666697</v>
      </c>
      <c r="AZ167">
        <v>0</v>
      </c>
      <c r="BC167">
        <v>-2637.833333333333</v>
      </c>
      <c r="BE167" t="s">
        <v>114</v>
      </c>
      <c r="BH167">
        <v>-155.16666666666697</v>
      </c>
      <c r="BI167">
        <v>-12.93055555555558</v>
      </c>
      <c r="BK167" t="s">
        <v>116</v>
      </c>
      <c r="BL167">
        <v>0</v>
      </c>
      <c r="BM167">
        <v>-2793</v>
      </c>
      <c r="BR167">
        <v>0</v>
      </c>
      <c r="BS167">
        <v>0</v>
      </c>
      <c r="BW167" t="s">
        <v>167</v>
      </c>
      <c r="BX167" t="s">
        <v>168</v>
      </c>
      <c r="BZ167" t="s">
        <v>997</v>
      </c>
    </row>
    <row r="168" spans="1:78">
      <c r="A168" t="s">
        <v>341</v>
      </c>
      <c r="B168" t="s">
        <v>874</v>
      </c>
      <c r="C168" t="s">
        <v>54</v>
      </c>
      <c r="D168" t="s">
        <v>1</v>
      </c>
      <c r="E168" t="s">
        <v>115</v>
      </c>
      <c r="F168" t="s">
        <v>99</v>
      </c>
      <c r="G168" t="s">
        <v>100</v>
      </c>
      <c r="H168" t="s">
        <v>128</v>
      </c>
      <c r="I168" t="s">
        <v>100</v>
      </c>
      <c r="J168" t="s">
        <v>101</v>
      </c>
      <c r="K168" t="s">
        <v>559</v>
      </c>
      <c r="L168" t="s">
        <v>559</v>
      </c>
      <c r="M168" t="s">
        <v>100</v>
      </c>
      <c r="N168" t="s">
        <v>506</v>
      </c>
      <c r="O168" t="s">
        <v>100</v>
      </c>
      <c r="Q168" t="s">
        <v>506</v>
      </c>
      <c r="R168" t="s">
        <v>119</v>
      </c>
      <c r="S168" t="s">
        <v>130</v>
      </c>
      <c r="T168" t="s">
        <v>120</v>
      </c>
      <c r="U168" t="s">
        <v>101</v>
      </c>
      <c r="V168" t="s">
        <v>121</v>
      </c>
      <c r="W168" t="s">
        <v>122</v>
      </c>
      <c r="X168" t="s">
        <v>123</v>
      </c>
      <c r="Y168">
        <v>1</v>
      </c>
      <c r="Z168" t="s">
        <v>584</v>
      </c>
      <c r="AA168" s="280">
        <v>40956</v>
      </c>
      <c r="AB168" t="s">
        <v>114</v>
      </c>
      <c r="AC168" t="s">
        <v>124</v>
      </c>
      <c r="AD168" s="280">
        <v>44651</v>
      </c>
      <c r="AE168" t="s">
        <v>125</v>
      </c>
      <c r="AF168">
        <v>6</v>
      </c>
      <c r="AG168">
        <v>0</v>
      </c>
      <c r="AH168">
        <v>0</v>
      </c>
      <c r="AI168" t="s">
        <v>126</v>
      </c>
      <c r="AL168">
        <v>1</v>
      </c>
      <c r="AN168">
        <v>1</v>
      </c>
      <c r="AO168">
        <v>0</v>
      </c>
      <c r="AP168" t="s">
        <v>1051</v>
      </c>
      <c r="AR168" t="s">
        <v>127</v>
      </c>
      <c r="AS168">
        <v>2793</v>
      </c>
      <c r="AU168">
        <v>0</v>
      </c>
      <c r="AV168">
        <v>0</v>
      </c>
      <c r="AW168">
        <v>0</v>
      </c>
      <c r="AX168">
        <v>2793</v>
      </c>
      <c r="AY168">
        <v>155.16666666666697</v>
      </c>
      <c r="AZ168">
        <v>0</v>
      </c>
      <c r="BC168">
        <v>-2637.833333333333</v>
      </c>
      <c r="BE168" t="s">
        <v>114</v>
      </c>
      <c r="BH168">
        <v>-155.16666666666697</v>
      </c>
      <c r="BI168">
        <v>-12.93055555555558</v>
      </c>
      <c r="BK168" t="s">
        <v>116</v>
      </c>
      <c r="BL168">
        <v>0</v>
      </c>
      <c r="BM168">
        <v>-2793</v>
      </c>
      <c r="BR168">
        <v>0</v>
      </c>
      <c r="BS168">
        <v>0</v>
      </c>
      <c r="BW168" t="s">
        <v>167</v>
      </c>
      <c r="BX168" t="s">
        <v>168</v>
      </c>
      <c r="BZ168" t="s">
        <v>959</v>
      </c>
    </row>
    <row r="169" spans="1:78">
      <c r="A169" t="s">
        <v>342</v>
      </c>
      <c r="B169" t="s">
        <v>851</v>
      </c>
      <c r="C169" t="s">
        <v>54</v>
      </c>
      <c r="D169" t="s">
        <v>1</v>
      </c>
      <c r="E169" t="s">
        <v>115</v>
      </c>
      <c r="F169" t="s">
        <v>99</v>
      </c>
      <c r="G169" t="s">
        <v>100</v>
      </c>
      <c r="H169" t="s">
        <v>128</v>
      </c>
      <c r="I169" t="s">
        <v>100</v>
      </c>
      <c r="J169" t="s">
        <v>101</v>
      </c>
      <c r="K169" t="s">
        <v>559</v>
      </c>
      <c r="L169" t="s">
        <v>559</v>
      </c>
      <c r="M169" t="s">
        <v>100</v>
      </c>
      <c r="N169" t="s">
        <v>507</v>
      </c>
      <c r="O169" t="s">
        <v>100</v>
      </c>
      <c r="Q169" t="s">
        <v>507</v>
      </c>
      <c r="R169" t="s">
        <v>119</v>
      </c>
      <c r="S169" t="s">
        <v>130</v>
      </c>
      <c r="T169" t="s">
        <v>120</v>
      </c>
      <c r="U169" t="s">
        <v>101</v>
      </c>
      <c r="V169" t="s">
        <v>121</v>
      </c>
      <c r="W169" t="s">
        <v>122</v>
      </c>
      <c r="X169" t="s">
        <v>123</v>
      </c>
      <c r="Y169">
        <v>1</v>
      </c>
      <c r="Z169" t="s">
        <v>584</v>
      </c>
      <c r="AA169" s="280">
        <v>40956</v>
      </c>
      <c r="AB169" t="s">
        <v>114</v>
      </c>
      <c r="AC169" t="s">
        <v>124</v>
      </c>
      <c r="AD169" s="280">
        <v>44651</v>
      </c>
      <c r="AE169" t="s">
        <v>125</v>
      </c>
      <c r="AF169">
        <v>6</v>
      </c>
      <c r="AG169">
        <v>0</v>
      </c>
      <c r="AH169">
        <v>0</v>
      </c>
      <c r="AI169" t="s">
        <v>126</v>
      </c>
      <c r="AL169">
        <v>1</v>
      </c>
      <c r="AN169">
        <v>1</v>
      </c>
      <c r="AO169">
        <v>0</v>
      </c>
      <c r="AP169" t="s">
        <v>1050</v>
      </c>
      <c r="AR169" t="s">
        <v>127</v>
      </c>
      <c r="AS169">
        <v>3203.4</v>
      </c>
      <c r="AU169">
        <v>0</v>
      </c>
      <c r="AV169">
        <v>0</v>
      </c>
      <c r="AW169">
        <v>0</v>
      </c>
      <c r="AX169">
        <v>3203.4</v>
      </c>
      <c r="AY169">
        <v>177.9666666666667</v>
      </c>
      <c r="AZ169">
        <v>0</v>
      </c>
      <c r="BC169">
        <v>-3025.4333333333334</v>
      </c>
      <c r="BE169" t="s">
        <v>114</v>
      </c>
      <c r="BH169">
        <v>-177.9666666666667</v>
      </c>
      <c r="BI169">
        <v>-14.830555555555557</v>
      </c>
      <c r="BK169" t="s">
        <v>116</v>
      </c>
      <c r="BL169">
        <v>0</v>
      </c>
      <c r="BM169">
        <v>-3203.4</v>
      </c>
      <c r="BR169">
        <v>0</v>
      </c>
      <c r="BS169">
        <v>0</v>
      </c>
      <c r="BW169" t="s">
        <v>167</v>
      </c>
      <c r="BX169" t="s">
        <v>168</v>
      </c>
      <c r="BZ169" t="s">
        <v>937</v>
      </c>
    </row>
    <row r="170" spans="1:78">
      <c r="A170" t="s">
        <v>343</v>
      </c>
      <c r="B170" t="s">
        <v>864</v>
      </c>
      <c r="C170" t="s">
        <v>54</v>
      </c>
      <c r="D170" t="s">
        <v>1</v>
      </c>
      <c r="E170" t="s">
        <v>115</v>
      </c>
      <c r="F170" t="s">
        <v>99</v>
      </c>
      <c r="G170" t="s">
        <v>100</v>
      </c>
      <c r="H170" t="s">
        <v>128</v>
      </c>
      <c r="I170" t="s">
        <v>100</v>
      </c>
      <c r="J170" t="s">
        <v>101</v>
      </c>
      <c r="K170" t="s">
        <v>559</v>
      </c>
      <c r="L170" t="s">
        <v>559</v>
      </c>
      <c r="M170" t="s">
        <v>100</v>
      </c>
      <c r="N170" t="s">
        <v>508</v>
      </c>
      <c r="O170" t="s">
        <v>100</v>
      </c>
      <c r="Q170" t="s">
        <v>508</v>
      </c>
      <c r="R170" t="s">
        <v>119</v>
      </c>
      <c r="S170" t="s">
        <v>130</v>
      </c>
      <c r="T170" t="s">
        <v>120</v>
      </c>
      <c r="U170" t="s">
        <v>101</v>
      </c>
      <c r="V170" t="s">
        <v>121</v>
      </c>
      <c r="W170" t="s">
        <v>122</v>
      </c>
      <c r="X170" t="s">
        <v>123</v>
      </c>
      <c r="Y170">
        <v>1</v>
      </c>
      <c r="Z170" t="s">
        <v>585</v>
      </c>
      <c r="AA170" s="280">
        <v>40977</v>
      </c>
      <c r="AB170" t="s">
        <v>114</v>
      </c>
      <c r="AC170" t="s">
        <v>124</v>
      </c>
      <c r="AD170" s="280">
        <v>44651</v>
      </c>
      <c r="AE170" t="s">
        <v>125</v>
      </c>
      <c r="AF170">
        <v>6</v>
      </c>
      <c r="AG170">
        <v>0</v>
      </c>
      <c r="AH170">
        <v>0</v>
      </c>
      <c r="AI170" t="s">
        <v>126</v>
      </c>
      <c r="AL170">
        <v>1</v>
      </c>
      <c r="AN170">
        <v>1</v>
      </c>
      <c r="AO170">
        <v>0</v>
      </c>
      <c r="AP170" t="s">
        <v>1050</v>
      </c>
      <c r="AR170" t="s">
        <v>127</v>
      </c>
      <c r="AS170">
        <v>2311.5</v>
      </c>
      <c r="AU170">
        <v>0</v>
      </c>
      <c r="AV170">
        <v>0</v>
      </c>
      <c r="AW170">
        <v>0</v>
      </c>
      <c r="AX170">
        <v>2311.5</v>
      </c>
      <c r="AY170">
        <v>128.41666666666697</v>
      </c>
      <c r="AZ170">
        <v>0</v>
      </c>
      <c r="BC170">
        <v>-2183.083333333333</v>
      </c>
      <c r="BE170" t="s">
        <v>114</v>
      </c>
      <c r="BH170">
        <v>-128.41666666666697</v>
      </c>
      <c r="BI170">
        <v>-10.701388888888914</v>
      </c>
      <c r="BK170" t="s">
        <v>116</v>
      </c>
      <c r="BL170">
        <v>0</v>
      </c>
      <c r="BM170">
        <v>-2311.5</v>
      </c>
      <c r="BR170">
        <v>0</v>
      </c>
      <c r="BS170">
        <v>0</v>
      </c>
      <c r="BW170" t="s">
        <v>167</v>
      </c>
      <c r="BX170" t="s">
        <v>168</v>
      </c>
      <c r="BZ170" t="s">
        <v>948</v>
      </c>
    </row>
    <row r="171" spans="1:78">
      <c r="A171" t="s">
        <v>344</v>
      </c>
      <c r="B171" t="s">
        <v>895</v>
      </c>
      <c r="C171" t="s">
        <v>54</v>
      </c>
      <c r="D171" t="s">
        <v>1</v>
      </c>
      <c r="E171" t="s">
        <v>115</v>
      </c>
      <c r="F171" t="s">
        <v>99</v>
      </c>
      <c r="G171" t="s">
        <v>100</v>
      </c>
      <c r="H171" t="s">
        <v>128</v>
      </c>
      <c r="I171" t="s">
        <v>100</v>
      </c>
      <c r="J171" t="s">
        <v>101</v>
      </c>
      <c r="K171" t="s">
        <v>559</v>
      </c>
      <c r="L171" t="s">
        <v>559</v>
      </c>
      <c r="M171" t="s">
        <v>100</v>
      </c>
      <c r="N171" t="s">
        <v>489</v>
      </c>
      <c r="O171" t="s">
        <v>100</v>
      </c>
      <c r="Q171" t="s">
        <v>489</v>
      </c>
      <c r="R171" t="s">
        <v>119</v>
      </c>
      <c r="S171" t="s">
        <v>130</v>
      </c>
      <c r="T171" t="s">
        <v>120</v>
      </c>
      <c r="U171" t="s">
        <v>101</v>
      </c>
      <c r="V171" t="s">
        <v>121</v>
      </c>
      <c r="W171" t="s">
        <v>122</v>
      </c>
      <c r="X171" t="s">
        <v>123</v>
      </c>
      <c r="Y171">
        <v>1</v>
      </c>
      <c r="Z171" t="s">
        <v>579</v>
      </c>
      <c r="AA171" s="280">
        <v>40025</v>
      </c>
      <c r="AB171" t="s">
        <v>114</v>
      </c>
      <c r="AC171" t="s">
        <v>124</v>
      </c>
      <c r="AD171" s="280">
        <v>44651</v>
      </c>
      <c r="AE171" t="s">
        <v>125</v>
      </c>
      <c r="AF171">
        <v>6</v>
      </c>
      <c r="AG171">
        <v>0</v>
      </c>
      <c r="AH171">
        <v>0</v>
      </c>
      <c r="AI171" t="s">
        <v>126</v>
      </c>
      <c r="AL171">
        <v>1</v>
      </c>
      <c r="AN171">
        <v>1</v>
      </c>
      <c r="AO171">
        <v>0</v>
      </c>
      <c r="AP171" t="s">
        <v>1050</v>
      </c>
      <c r="AR171" t="s">
        <v>127</v>
      </c>
      <c r="AS171">
        <v>3505.5</v>
      </c>
      <c r="AU171">
        <v>0</v>
      </c>
      <c r="AV171">
        <v>0</v>
      </c>
      <c r="AW171">
        <v>0</v>
      </c>
      <c r="AX171">
        <v>3505.5</v>
      </c>
      <c r="AY171">
        <v>194.75</v>
      </c>
      <c r="AZ171">
        <v>0</v>
      </c>
      <c r="BC171">
        <v>-3310.75</v>
      </c>
      <c r="BE171" t="s">
        <v>114</v>
      </c>
      <c r="BH171">
        <v>-194.75</v>
      </c>
      <c r="BI171">
        <v>-16.229166666666668</v>
      </c>
      <c r="BK171" t="s">
        <v>116</v>
      </c>
      <c r="BL171">
        <v>0</v>
      </c>
      <c r="BM171">
        <v>-3505.5</v>
      </c>
      <c r="BR171">
        <v>0</v>
      </c>
      <c r="BS171">
        <v>0</v>
      </c>
      <c r="BW171" t="s">
        <v>167</v>
      </c>
      <c r="BX171" t="s">
        <v>168</v>
      </c>
      <c r="BZ171" t="s">
        <v>968</v>
      </c>
    </row>
    <row r="172" spans="1:78">
      <c r="A172" t="s">
        <v>345</v>
      </c>
      <c r="B172" t="s">
        <v>872</v>
      </c>
      <c r="C172" t="s">
        <v>54</v>
      </c>
      <c r="D172" t="s">
        <v>1</v>
      </c>
      <c r="E172" t="s">
        <v>115</v>
      </c>
      <c r="F172" t="s">
        <v>99</v>
      </c>
      <c r="G172" t="s">
        <v>100</v>
      </c>
      <c r="H172" t="s">
        <v>128</v>
      </c>
      <c r="I172" t="s">
        <v>100</v>
      </c>
      <c r="J172" t="s">
        <v>101</v>
      </c>
      <c r="K172" t="s">
        <v>559</v>
      </c>
      <c r="L172" t="s">
        <v>559</v>
      </c>
      <c r="M172" t="s">
        <v>100</v>
      </c>
      <c r="N172" t="s">
        <v>465</v>
      </c>
      <c r="O172" t="s">
        <v>100</v>
      </c>
      <c r="Q172" t="s">
        <v>465</v>
      </c>
      <c r="R172" t="s">
        <v>119</v>
      </c>
      <c r="S172" t="s">
        <v>130</v>
      </c>
      <c r="T172" t="s">
        <v>120</v>
      </c>
      <c r="U172" t="s">
        <v>101</v>
      </c>
      <c r="V172" t="s">
        <v>121</v>
      </c>
      <c r="W172" t="s">
        <v>122</v>
      </c>
      <c r="X172" t="s">
        <v>123</v>
      </c>
      <c r="Y172">
        <v>1</v>
      </c>
      <c r="Z172" t="s">
        <v>567</v>
      </c>
      <c r="AA172" s="280">
        <v>38604</v>
      </c>
      <c r="AB172" t="s">
        <v>114</v>
      </c>
      <c r="AC172" t="s">
        <v>124</v>
      </c>
      <c r="AD172" s="280">
        <v>44651</v>
      </c>
      <c r="AE172" t="s">
        <v>125</v>
      </c>
      <c r="AF172">
        <v>6</v>
      </c>
      <c r="AG172">
        <v>0</v>
      </c>
      <c r="AH172">
        <v>0</v>
      </c>
      <c r="AI172" t="s">
        <v>126</v>
      </c>
      <c r="AL172">
        <v>1</v>
      </c>
      <c r="AN172">
        <v>1</v>
      </c>
      <c r="AO172">
        <v>0</v>
      </c>
      <c r="AP172" t="s">
        <v>1050</v>
      </c>
      <c r="AR172" t="s">
        <v>127</v>
      </c>
      <c r="AS172">
        <v>2052</v>
      </c>
      <c r="AU172">
        <v>0</v>
      </c>
      <c r="AV172">
        <v>0</v>
      </c>
      <c r="AW172">
        <v>0</v>
      </c>
      <c r="AX172">
        <v>2052</v>
      </c>
      <c r="AY172">
        <v>114</v>
      </c>
      <c r="AZ172">
        <v>0</v>
      </c>
      <c r="BC172">
        <v>-1938</v>
      </c>
      <c r="BE172" t="s">
        <v>114</v>
      </c>
      <c r="BH172">
        <v>-114</v>
      </c>
      <c r="BI172">
        <v>-9.5</v>
      </c>
      <c r="BK172" t="s">
        <v>116</v>
      </c>
      <c r="BL172">
        <v>0</v>
      </c>
      <c r="BM172">
        <v>-2052</v>
      </c>
      <c r="BR172">
        <v>0</v>
      </c>
      <c r="BS172">
        <v>0</v>
      </c>
      <c r="BW172" t="s">
        <v>167</v>
      </c>
      <c r="BX172" t="s">
        <v>168</v>
      </c>
      <c r="BZ172" t="s">
        <v>956</v>
      </c>
    </row>
    <row r="173" spans="1:78">
      <c r="A173" t="s">
        <v>346</v>
      </c>
      <c r="B173" t="s">
        <v>859</v>
      </c>
      <c r="C173" t="s">
        <v>54</v>
      </c>
      <c r="D173" t="s">
        <v>1</v>
      </c>
      <c r="E173" t="s">
        <v>115</v>
      </c>
      <c r="F173" t="s">
        <v>99</v>
      </c>
      <c r="G173" t="s">
        <v>100</v>
      </c>
      <c r="H173" t="s">
        <v>128</v>
      </c>
      <c r="I173" t="s">
        <v>100</v>
      </c>
      <c r="J173" t="s">
        <v>101</v>
      </c>
      <c r="K173" t="s">
        <v>559</v>
      </c>
      <c r="L173" t="s">
        <v>559</v>
      </c>
      <c r="M173" t="s">
        <v>100</v>
      </c>
      <c r="N173" t="s">
        <v>464</v>
      </c>
      <c r="O173" t="s">
        <v>100</v>
      </c>
      <c r="Q173" t="s">
        <v>464</v>
      </c>
      <c r="R173" t="s">
        <v>119</v>
      </c>
      <c r="S173" t="s">
        <v>130</v>
      </c>
      <c r="T173" t="s">
        <v>120</v>
      </c>
      <c r="U173" t="s">
        <v>101</v>
      </c>
      <c r="V173" t="s">
        <v>121</v>
      </c>
      <c r="W173" t="s">
        <v>122</v>
      </c>
      <c r="X173" t="s">
        <v>123</v>
      </c>
      <c r="Y173">
        <v>1</v>
      </c>
      <c r="Z173" t="s">
        <v>565</v>
      </c>
      <c r="AA173" s="280">
        <v>38608</v>
      </c>
      <c r="AB173" t="s">
        <v>114</v>
      </c>
      <c r="AC173" t="s">
        <v>124</v>
      </c>
      <c r="AD173" s="280">
        <v>44651</v>
      </c>
      <c r="AE173" t="s">
        <v>125</v>
      </c>
      <c r="AF173">
        <v>6</v>
      </c>
      <c r="AG173">
        <v>0</v>
      </c>
      <c r="AH173">
        <v>0</v>
      </c>
      <c r="AI173" t="s">
        <v>126</v>
      </c>
      <c r="AL173">
        <v>1</v>
      </c>
      <c r="AN173">
        <v>1</v>
      </c>
      <c r="AO173">
        <v>0</v>
      </c>
      <c r="AP173" t="s">
        <v>1050</v>
      </c>
      <c r="AR173" t="s">
        <v>127</v>
      </c>
      <c r="AS173">
        <v>2237</v>
      </c>
      <c r="AU173">
        <v>0</v>
      </c>
      <c r="AV173">
        <v>0</v>
      </c>
      <c r="AW173">
        <v>0</v>
      </c>
      <c r="AX173">
        <v>2237</v>
      </c>
      <c r="AY173">
        <v>124.27777777777783</v>
      </c>
      <c r="AZ173">
        <v>0</v>
      </c>
      <c r="BC173">
        <v>-2112.7222222222222</v>
      </c>
      <c r="BE173" t="s">
        <v>114</v>
      </c>
      <c r="BH173">
        <v>-124.27777777777783</v>
      </c>
      <c r="BI173">
        <v>-10.356481481481486</v>
      </c>
      <c r="BK173" t="s">
        <v>116</v>
      </c>
      <c r="BL173">
        <v>0</v>
      </c>
      <c r="BM173">
        <v>-2237</v>
      </c>
      <c r="BR173">
        <v>0</v>
      </c>
      <c r="BS173">
        <v>0</v>
      </c>
      <c r="BW173" t="s">
        <v>167</v>
      </c>
      <c r="BX173" t="s">
        <v>168</v>
      </c>
      <c r="BZ173" t="s">
        <v>944</v>
      </c>
    </row>
    <row r="174" spans="1:78">
      <c r="A174" t="s">
        <v>347</v>
      </c>
      <c r="B174" t="s">
        <v>883</v>
      </c>
      <c r="C174" t="s">
        <v>54</v>
      </c>
      <c r="D174" t="s">
        <v>1</v>
      </c>
      <c r="E174" t="s">
        <v>115</v>
      </c>
      <c r="F174" t="s">
        <v>99</v>
      </c>
      <c r="G174" t="s">
        <v>100</v>
      </c>
      <c r="H174" t="s">
        <v>128</v>
      </c>
      <c r="I174" t="s">
        <v>100</v>
      </c>
      <c r="J174" t="s">
        <v>101</v>
      </c>
      <c r="K174" t="s">
        <v>559</v>
      </c>
      <c r="L174" t="s">
        <v>559</v>
      </c>
      <c r="M174" t="s">
        <v>100</v>
      </c>
      <c r="N174" t="s">
        <v>464</v>
      </c>
      <c r="O174" t="s">
        <v>100</v>
      </c>
      <c r="Q174" t="s">
        <v>464</v>
      </c>
      <c r="R174" t="s">
        <v>119</v>
      </c>
      <c r="S174" t="s">
        <v>130</v>
      </c>
      <c r="T174" t="s">
        <v>120</v>
      </c>
      <c r="U174" t="s">
        <v>101</v>
      </c>
      <c r="V174" t="s">
        <v>121</v>
      </c>
      <c r="W174" t="s">
        <v>122</v>
      </c>
      <c r="X174" t="s">
        <v>123</v>
      </c>
      <c r="Y174">
        <v>1</v>
      </c>
      <c r="Z174" t="s">
        <v>565</v>
      </c>
      <c r="AA174" s="280">
        <v>38608</v>
      </c>
      <c r="AB174" t="s">
        <v>114</v>
      </c>
      <c r="AC174" t="s">
        <v>124</v>
      </c>
      <c r="AD174" s="280">
        <v>44651</v>
      </c>
      <c r="AE174" t="s">
        <v>125</v>
      </c>
      <c r="AF174">
        <v>6</v>
      </c>
      <c r="AG174">
        <v>0</v>
      </c>
      <c r="AH174">
        <v>0</v>
      </c>
      <c r="AI174" t="s">
        <v>126</v>
      </c>
      <c r="AL174">
        <v>1</v>
      </c>
      <c r="AN174">
        <v>1</v>
      </c>
      <c r="AO174">
        <v>0</v>
      </c>
      <c r="AP174" t="s">
        <v>1050</v>
      </c>
      <c r="AR174" t="s">
        <v>127</v>
      </c>
      <c r="AS174">
        <v>2237</v>
      </c>
      <c r="AU174">
        <v>0</v>
      </c>
      <c r="AV174">
        <v>0</v>
      </c>
      <c r="AW174">
        <v>0</v>
      </c>
      <c r="AX174">
        <v>2237</v>
      </c>
      <c r="AY174">
        <v>124.27777777777783</v>
      </c>
      <c r="AZ174">
        <v>0</v>
      </c>
      <c r="BC174">
        <v>-2112.7222222222222</v>
      </c>
      <c r="BE174" t="s">
        <v>114</v>
      </c>
      <c r="BH174">
        <v>-124.27777777777783</v>
      </c>
      <c r="BI174">
        <v>-10.356481481481486</v>
      </c>
      <c r="BK174" t="s">
        <v>116</v>
      </c>
      <c r="BL174">
        <v>0</v>
      </c>
      <c r="BM174">
        <v>-2237</v>
      </c>
      <c r="BR174">
        <v>0</v>
      </c>
      <c r="BS174">
        <v>0</v>
      </c>
      <c r="BW174" t="s">
        <v>167</v>
      </c>
      <c r="BX174" t="s">
        <v>168</v>
      </c>
      <c r="BZ174" t="s">
        <v>972</v>
      </c>
    </row>
    <row r="175" spans="1:78">
      <c r="A175" t="s">
        <v>348</v>
      </c>
      <c r="B175" t="s">
        <v>906</v>
      </c>
      <c r="C175" t="s">
        <v>54</v>
      </c>
      <c r="D175" t="s">
        <v>1</v>
      </c>
      <c r="E175" t="s">
        <v>115</v>
      </c>
      <c r="F175" t="s">
        <v>99</v>
      </c>
      <c r="G175" t="s">
        <v>100</v>
      </c>
      <c r="H175" t="s">
        <v>128</v>
      </c>
      <c r="I175" t="s">
        <v>100</v>
      </c>
      <c r="J175" t="s">
        <v>101</v>
      </c>
      <c r="K175" t="s">
        <v>559</v>
      </c>
      <c r="L175" t="s">
        <v>559</v>
      </c>
      <c r="M175" t="s">
        <v>100</v>
      </c>
      <c r="N175" t="s">
        <v>510</v>
      </c>
      <c r="O175" t="s">
        <v>100</v>
      </c>
      <c r="Q175" t="s">
        <v>510</v>
      </c>
      <c r="R175" t="s">
        <v>119</v>
      </c>
      <c r="S175" t="s">
        <v>130</v>
      </c>
      <c r="T175" t="s">
        <v>120</v>
      </c>
      <c r="U175" t="s">
        <v>101</v>
      </c>
      <c r="V175" t="s">
        <v>121</v>
      </c>
      <c r="W175" t="s">
        <v>122</v>
      </c>
      <c r="X175" t="s">
        <v>123</v>
      </c>
      <c r="Y175">
        <v>1</v>
      </c>
      <c r="Z175" t="s">
        <v>586</v>
      </c>
      <c r="AA175" s="280">
        <v>41533</v>
      </c>
      <c r="AB175" t="s">
        <v>114</v>
      </c>
      <c r="AC175" t="s">
        <v>124</v>
      </c>
      <c r="AD175" s="280">
        <v>44651</v>
      </c>
      <c r="AE175" t="s">
        <v>125</v>
      </c>
      <c r="AF175">
        <v>6</v>
      </c>
      <c r="AG175">
        <v>0</v>
      </c>
      <c r="AH175">
        <v>0</v>
      </c>
      <c r="AI175" t="s">
        <v>126</v>
      </c>
      <c r="AL175">
        <v>1</v>
      </c>
      <c r="AN175">
        <v>1</v>
      </c>
      <c r="AO175">
        <v>0</v>
      </c>
      <c r="AP175" t="s">
        <v>1051</v>
      </c>
      <c r="AR175" t="s">
        <v>127</v>
      </c>
      <c r="AS175">
        <v>3700</v>
      </c>
      <c r="AU175">
        <v>0</v>
      </c>
      <c r="AV175">
        <v>0</v>
      </c>
      <c r="AW175">
        <v>0</v>
      </c>
      <c r="AX175">
        <v>3700</v>
      </c>
      <c r="AY175">
        <v>205.55555555555566</v>
      </c>
      <c r="AZ175">
        <v>0</v>
      </c>
      <c r="BC175">
        <v>-3494.4444444444443</v>
      </c>
      <c r="BE175" t="s">
        <v>114</v>
      </c>
      <c r="BH175">
        <v>-205.55555555555566</v>
      </c>
      <c r="BI175">
        <v>-17.129629629629637</v>
      </c>
      <c r="BK175" t="s">
        <v>116</v>
      </c>
      <c r="BL175">
        <v>0</v>
      </c>
      <c r="BM175">
        <v>-3700</v>
      </c>
      <c r="BR175">
        <v>0</v>
      </c>
      <c r="BS175">
        <v>0</v>
      </c>
      <c r="BW175" t="s">
        <v>167</v>
      </c>
      <c r="BX175" t="s">
        <v>168</v>
      </c>
      <c r="BZ175" t="s">
        <v>990</v>
      </c>
    </row>
    <row r="176" spans="1:78">
      <c r="A176" t="s">
        <v>349</v>
      </c>
      <c r="B176" t="s">
        <v>886</v>
      </c>
      <c r="C176" t="s">
        <v>54</v>
      </c>
      <c r="D176" t="s">
        <v>1</v>
      </c>
      <c r="E176" t="s">
        <v>115</v>
      </c>
      <c r="F176" t="s">
        <v>99</v>
      </c>
      <c r="G176" t="s">
        <v>100</v>
      </c>
      <c r="H176" t="s">
        <v>128</v>
      </c>
      <c r="I176" t="s">
        <v>100</v>
      </c>
      <c r="J176" t="s">
        <v>101</v>
      </c>
      <c r="K176" t="s">
        <v>559</v>
      </c>
      <c r="L176" t="s">
        <v>559</v>
      </c>
      <c r="M176" t="s">
        <v>100</v>
      </c>
      <c r="N176" t="s">
        <v>509</v>
      </c>
      <c r="O176" t="s">
        <v>100</v>
      </c>
      <c r="Q176" t="s">
        <v>509</v>
      </c>
      <c r="R176" t="s">
        <v>119</v>
      </c>
      <c r="S176" t="s">
        <v>130</v>
      </c>
      <c r="T176" t="s">
        <v>120</v>
      </c>
      <c r="U176" t="s">
        <v>101</v>
      </c>
      <c r="V176" t="s">
        <v>121</v>
      </c>
      <c r="W176" t="s">
        <v>122</v>
      </c>
      <c r="X176" t="s">
        <v>123</v>
      </c>
      <c r="Y176">
        <v>1</v>
      </c>
      <c r="Z176" t="s">
        <v>586</v>
      </c>
      <c r="AA176" s="280">
        <v>41533</v>
      </c>
      <c r="AB176" t="s">
        <v>114</v>
      </c>
      <c r="AC176" t="s">
        <v>124</v>
      </c>
      <c r="AD176" s="280">
        <v>44651</v>
      </c>
      <c r="AE176" t="s">
        <v>125</v>
      </c>
      <c r="AF176">
        <v>6</v>
      </c>
      <c r="AG176">
        <v>0</v>
      </c>
      <c r="AH176">
        <v>0</v>
      </c>
      <c r="AI176" t="s">
        <v>126</v>
      </c>
      <c r="AL176">
        <v>1</v>
      </c>
      <c r="AN176">
        <v>1</v>
      </c>
      <c r="AO176">
        <v>0</v>
      </c>
      <c r="AP176" t="s">
        <v>1050</v>
      </c>
      <c r="AR176" t="s">
        <v>127</v>
      </c>
      <c r="AS176">
        <v>3850</v>
      </c>
      <c r="AU176">
        <v>0</v>
      </c>
      <c r="AV176">
        <v>0</v>
      </c>
      <c r="AW176">
        <v>0</v>
      </c>
      <c r="AX176">
        <v>3850</v>
      </c>
      <c r="AY176">
        <v>213.88888888888869</v>
      </c>
      <c r="AZ176">
        <v>0</v>
      </c>
      <c r="BC176">
        <v>-3636.1111111111113</v>
      </c>
      <c r="BE176" t="s">
        <v>114</v>
      </c>
      <c r="BH176">
        <v>-213.88888888888869</v>
      </c>
      <c r="BI176">
        <v>-17.824074074074058</v>
      </c>
      <c r="BK176" t="s">
        <v>116</v>
      </c>
      <c r="BL176">
        <v>0</v>
      </c>
      <c r="BM176">
        <v>-3850</v>
      </c>
      <c r="BR176">
        <v>0</v>
      </c>
      <c r="BS176">
        <v>0</v>
      </c>
      <c r="BW176" t="s">
        <v>167</v>
      </c>
      <c r="BX176" t="s">
        <v>168</v>
      </c>
      <c r="BZ176" t="s">
        <v>998</v>
      </c>
    </row>
    <row r="177" spans="1:78">
      <c r="A177" t="s">
        <v>350</v>
      </c>
      <c r="B177" t="s">
        <v>884</v>
      </c>
      <c r="C177" t="s">
        <v>54</v>
      </c>
      <c r="D177" t="s">
        <v>1</v>
      </c>
      <c r="E177" t="s">
        <v>115</v>
      </c>
      <c r="F177" t="s">
        <v>99</v>
      </c>
      <c r="G177" t="s">
        <v>100</v>
      </c>
      <c r="H177" t="s">
        <v>128</v>
      </c>
      <c r="I177" t="s">
        <v>100</v>
      </c>
      <c r="J177" t="s">
        <v>101</v>
      </c>
      <c r="K177" t="s">
        <v>559</v>
      </c>
      <c r="L177" t="s">
        <v>559</v>
      </c>
      <c r="M177" t="s">
        <v>100</v>
      </c>
      <c r="N177" t="s">
        <v>511</v>
      </c>
      <c r="O177" t="s">
        <v>100</v>
      </c>
      <c r="Q177" t="s">
        <v>511</v>
      </c>
      <c r="R177" t="s">
        <v>119</v>
      </c>
      <c r="S177" t="s">
        <v>130</v>
      </c>
      <c r="T177" t="s">
        <v>120</v>
      </c>
      <c r="U177" t="s">
        <v>101</v>
      </c>
      <c r="V177" t="s">
        <v>121</v>
      </c>
      <c r="W177" t="s">
        <v>122</v>
      </c>
      <c r="X177" t="s">
        <v>123</v>
      </c>
      <c r="Y177">
        <v>1</v>
      </c>
      <c r="Z177" t="s">
        <v>586</v>
      </c>
      <c r="AA177" s="280">
        <v>41533</v>
      </c>
      <c r="AB177" t="s">
        <v>114</v>
      </c>
      <c r="AC177" t="s">
        <v>124</v>
      </c>
      <c r="AD177" s="280">
        <v>44651</v>
      </c>
      <c r="AE177" t="s">
        <v>125</v>
      </c>
      <c r="AF177">
        <v>6</v>
      </c>
      <c r="AG177">
        <v>0</v>
      </c>
      <c r="AH177">
        <v>0</v>
      </c>
      <c r="AI177" t="s">
        <v>126</v>
      </c>
      <c r="AL177">
        <v>1</v>
      </c>
      <c r="AN177">
        <v>1</v>
      </c>
      <c r="AO177">
        <v>0</v>
      </c>
      <c r="AP177" t="s">
        <v>1050</v>
      </c>
      <c r="AR177" t="s">
        <v>127</v>
      </c>
      <c r="AS177">
        <v>3700</v>
      </c>
      <c r="AU177">
        <v>0</v>
      </c>
      <c r="AV177">
        <v>0</v>
      </c>
      <c r="AW177">
        <v>0</v>
      </c>
      <c r="AX177">
        <v>3700</v>
      </c>
      <c r="AY177">
        <v>205.55555555555566</v>
      </c>
      <c r="AZ177">
        <v>0</v>
      </c>
      <c r="BC177">
        <v>-3494.4444444444443</v>
      </c>
      <c r="BE177" t="s">
        <v>114</v>
      </c>
      <c r="BH177">
        <v>-205.55555555555566</v>
      </c>
      <c r="BI177">
        <v>-17.129629629629637</v>
      </c>
      <c r="BK177" t="s">
        <v>116</v>
      </c>
      <c r="BL177">
        <v>0</v>
      </c>
      <c r="BM177">
        <v>-3700</v>
      </c>
      <c r="BR177">
        <v>0</v>
      </c>
      <c r="BS177">
        <v>0</v>
      </c>
      <c r="BW177" t="s">
        <v>167</v>
      </c>
      <c r="BX177" t="s">
        <v>168</v>
      </c>
      <c r="BZ177" t="s">
        <v>973</v>
      </c>
    </row>
    <row r="178" spans="1:78">
      <c r="A178" t="s">
        <v>351</v>
      </c>
      <c r="B178" t="s">
        <v>884</v>
      </c>
      <c r="C178" t="s">
        <v>54</v>
      </c>
      <c r="D178" t="s">
        <v>1</v>
      </c>
      <c r="E178" t="s">
        <v>115</v>
      </c>
      <c r="F178" t="s">
        <v>99</v>
      </c>
      <c r="G178" t="s">
        <v>100</v>
      </c>
      <c r="H178" t="s">
        <v>128</v>
      </c>
      <c r="I178" t="s">
        <v>100</v>
      </c>
      <c r="J178" t="s">
        <v>101</v>
      </c>
      <c r="K178" t="s">
        <v>559</v>
      </c>
      <c r="L178" t="s">
        <v>559</v>
      </c>
      <c r="M178" t="s">
        <v>100</v>
      </c>
      <c r="N178" t="s">
        <v>512</v>
      </c>
      <c r="O178" t="s">
        <v>100</v>
      </c>
      <c r="Q178" t="s">
        <v>512</v>
      </c>
      <c r="R178" t="s">
        <v>119</v>
      </c>
      <c r="S178" t="s">
        <v>130</v>
      </c>
      <c r="T178" t="s">
        <v>120</v>
      </c>
      <c r="U178" t="s">
        <v>101</v>
      </c>
      <c r="V178" t="s">
        <v>121</v>
      </c>
      <c r="W178" t="s">
        <v>122</v>
      </c>
      <c r="X178" t="s">
        <v>123</v>
      </c>
      <c r="Y178">
        <v>1</v>
      </c>
      <c r="Z178" t="s">
        <v>586</v>
      </c>
      <c r="AA178" s="280">
        <v>41533</v>
      </c>
      <c r="AB178" t="s">
        <v>114</v>
      </c>
      <c r="AC178" t="s">
        <v>124</v>
      </c>
      <c r="AD178" s="280">
        <v>44651</v>
      </c>
      <c r="AE178" t="s">
        <v>125</v>
      </c>
      <c r="AF178">
        <v>6</v>
      </c>
      <c r="AG178">
        <v>0</v>
      </c>
      <c r="AH178">
        <v>0</v>
      </c>
      <c r="AI178" t="s">
        <v>126</v>
      </c>
      <c r="AL178">
        <v>1</v>
      </c>
      <c r="AN178">
        <v>1</v>
      </c>
      <c r="AO178">
        <v>0</v>
      </c>
      <c r="AP178" t="s">
        <v>1050</v>
      </c>
      <c r="AR178" t="s">
        <v>127</v>
      </c>
      <c r="AS178">
        <v>3700</v>
      </c>
      <c r="AU178">
        <v>0</v>
      </c>
      <c r="AV178">
        <v>0</v>
      </c>
      <c r="AW178">
        <v>0</v>
      </c>
      <c r="AX178">
        <v>3700</v>
      </c>
      <c r="AY178">
        <v>205.55555555555566</v>
      </c>
      <c r="AZ178">
        <v>0</v>
      </c>
      <c r="BC178">
        <v>-3494.4444444444443</v>
      </c>
      <c r="BE178" t="s">
        <v>114</v>
      </c>
      <c r="BH178">
        <v>-205.55555555555566</v>
      </c>
      <c r="BI178">
        <v>-17.129629629629637</v>
      </c>
      <c r="BK178" t="s">
        <v>116</v>
      </c>
      <c r="BL178">
        <v>0</v>
      </c>
      <c r="BM178">
        <v>-3700</v>
      </c>
      <c r="BR178">
        <v>0</v>
      </c>
      <c r="BS178">
        <v>0</v>
      </c>
      <c r="BW178" t="s">
        <v>167</v>
      </c>
      <c r="BX178" t="s">
        <v>168</v>
      </c>
      <c r="BZ178" t="s">
        <v>973</v>
      </c>
    </row>
    <row r="179" spans="1:78">
      <c r="A179" t="s">
        <v>352</v>
      </c>
      <c r="B179" t="s">
        <v>884</v>
      </c>
      <c r="C179" t="s">
        <v>54</v>
      </c>
      <c r="D179" t="s">
        <v>1</v>
      </c>
      <c r="E179" t="s">
        <v>115</v>
      </c>
      <c r="F179" t="s">
        <v>99</v>
      </c>
      <c r="G179" t="s">
        <v>100</v>
      </c>
      <c r="H179" t="s">
        <v>128</v>
      </c>
      <c r="I179" t="s">
        <v>100</v>
      </c>
      <c r="J179" t="s">
        <v>101</v>
      </c>
      <c r="K179" t="s">
        <v>559</v>
      </c>
      <c r="L179" t="s">
        <v>559</v>
      </c>
      <c r="M179" t="s">
        <v>100</v>
      </c>
      <c r="N179" t="s">
        <v>509</v>
      </c>
      <c r="O179" t="s">
        <v>100</v>
      </c>
      <c r="Q179" t="s">
        <v>509</v>
      </c>
      <c r="R179" t="s">
        <v>119</v>
      </c>
      <c r="S179" t="s">
        <v>130</v>
      </c>
      <c r="T179" t="s">
        <v>120</v>
      </c>
      <c r="U179" t="s">
        <v>101</v>
      </c>
      <c r="V179" t="s">
        <v>121</v>
      </c>
      <c r="W179" t="s">
        <v>122</v>
      </c>
      <c r="X179" t="s">
        <v>123</v>
      </c>
      <c r="Y179">
        <v>1</v>
      </c>
      <c r="Z179" t="s">
        <v>586</v>
      </c>
      <c r="AA179" s="280">
        <v>41533</v>
      </c>
      <c r="AB179" t="s">
        <v>114</v>
      </c>
      <c r="AC179" t="s">
        <v>124</v>
      </c>
      <c r="AD179" s="280">
        <v>44651</v>
      </c>
      <c r="AE179" t="s">
        <v>125</v>
      </c>
      <c r="AF179">
        <v>6</v>
      </c>
      <c r="AG179">
        <v>0</v>
      </c>
      <c r="AH179">
        <v>0</v>
      </c>
      <c r="AI179" t="s">
        <v>126</v>
      </c>
      <c r="AL179">
        <v>1</v>
      </c>
      <c r="AN179">
        <v>1</v>
      </c>
      <c r="AO179">
        <v>0</v>
      </c>
      <c r="AP179" t="s">
        <v>1050</v>
      </c>
      <c r="AR179" t="s">
        <v>127</v>
      </c>
      <c r="AS179">
        <v>4250</v>
      </c>
      <c r="AU179">
        <v>0</v>
      </c>
      <c r="AV179">
        <v>0</v>
      </c>
      <c r="AW179">
        <v>0</v>
      </c>
      <c r="AX179">
        <v>4250</v>
      </c>
      <c r="AY179">
        <v>236.11111111111131</v>
      </c>
      <c r="AZ179">
        <v>0</v>
      </c>
      <c r="BC179">
        <v>-4013.8888888888887</v>
      </c>
      <c r="BE179" t="s">
        <v>114</v>
      </c>
      <c r="BH179">
        <v>-236.11111111111131</v>
      </c>
      <c r="BI179">
        <v>-19.675925925925942</v>
      </c>
      <c r="BK179" t="s">
        <v>116</v>
      </c>
      <c r="BL179">
        <v>0</v>
      </c>
      <c r="BM179">
        <v>-4250</v>
      </c>
      <c r="BR179">
        <v>0</v>
      </c>
      <c r="BS179">
        <v>0</v>
      </c>
      <c r="BW179" t="s">
        <v>167</v>
      </c>
      <c r="BX179" t="s">
        <v>168</v>
      </c>
      <c r="BZ179" t="s">
        <v>999</v>
      </c>
    </row>
    <row r="180" spans="1:78">
      <c r="A180" t="s">
        <v>353</v>
      </c>
      <c r="B180">
        <v>0</v>
      </c>
      <c r="C180" t="s">
        <v>54</v>
      </c>
      <c r="D180" t="s">
        <v>1</v>
      </c>
      <c r="E180" t="s">
        <v>115</v>
      </c>
      <c r="F180" t="s">
        <v>99</v>
      </c>
      <c r="G180" t="s">
        <v>100</v>
      </c>
      <c r="H180" t="s">
        <v>128</v>
      </c>
      <c r="I180" t="s">
        <v>100</v>
      </c>
      <c r="J180" t="s">
        <v>101</v>
      </c>
      <c r="K180" t="s">
        <v>559</v>
      </c>
      <c r="L180" t="s">
        <v>559</v>
      </c>
      <c r="M180" t="s">
        <v>100</v>
      </c>
      <c r="N180" t="s">
        <v>513</v>
      </c>
      <c r="O180" t="s">
        <v>100</v>
      </c>
      <c r="Q180" t="s">
        <v>513</v>
      </c>
      <c r="R180" t="s">
        <v>119</v>
      </c>
      <c r="S180" t="s">
        <v>130</v>
      </c>
      <c r="T180" t="s">
        <v>120</v>
      </c>
      <c r="U180" t="s">
        <v>101</v>
      </c>
      <c r="V180" t="s">
        <v>121</v>
      </c>
      <c r="W180" t="s">
        <v>122</v>
      </c>
      <c r="X180" t="s">
        <v>123</v>
      </c>
      <c r="Y180">
        <v>1</v>
      </c>
      <c r="Z180" t="s">
        <v>586</v>
      </c>
      <c r="AA180" s="280">
        <v>41533</v>
      </c>
      <c r="AB180" t="s">
        <v>114</v>
      </c>
      <c r="AC180" t="s">
        <v>124</v>
      </c>
      <c r="AD180" s="280">
        <v>44651</v>
      </c>
      <c r="AE180" t="s">
        <v>125</v>
      </c>
      <c r="AF180">
        <v>6</v>
      </c>
      <c r="AG180">
        <v>0</v>
      </c>
      <c r="AH180">
        <v>0</v>
      </c>
      <c r="AI180" t="s">
        <v>126</v>
      </c>
      <c r="AL180">
        <v>1</v>
      </c>
      <c r="AN180">
        <v>1</v>
      </c>
      <c r="AO180">
        <v>0</v>
      </c>
      <c r="AP180">
        <v>0</v>
      </c>
      <c r="AR180" t="s">
        <v>127</v>
      </c>
      <c r="AS180">
        <v>1600</v>
      </c>
      <c r="AU180">
        <v>0</v>
      </c>
      <c r="AV180">
        <v>0</v>
      </c>
      <c r="AW180">
        <v>0</v>
      </c>
      <c r="AX180">
        <v>1600</v>
      </c>
      <c r="AY180">
        <v>88.888888888888687</v>
      </c>
      <c r="AZ180">
        <v>0</v>
      </c>
      <c r="BC180">
        <v>-1511.1111111111113</v>
      </c>
      <c r="BE180" t="s">
        <v>114</v>
      </c>
      <c r="BH180">
        <v>-88.888888888888687</v>
      </c>
      <c r="BI180">
        <v>-7.4074074074073906</v>
      </c>
      <c r="BK180" t="s">
        <v>116</v>
      </c>
      <c r="BL180">
        <v>0</v>
      </c>
      <c r="BM180">
        <v>-1600</v>
      </c>
      <c r="BR180">
        <v>0</v>
      </c>
      <c r="BS180">
        <v>0</v>
      </c>
      <c r="BW180" t="s">
        <v>167</v>
      </c>
      <c r="BX180" t="s">
        <v>168</v>
      </c>
      <c r="BZ180">
        <v>0</v>
      </c>
    </row>
    <row r="181" spans="1:78">
      <c r="A181" t="s">
        <v>354</v>
      </c>
      <c r="B181" t="s">
        <v>859</v>
      </c>
      <c r="C181" t="s">
        <v>54</v>
      </c>
      <c r="D181" t="s">
        <v>1</v>
      </c>
      <c r="E181" t="s">
        <v>115</v>
      </c>
      <c r="F181" t="s">
        <v>99</v>
      </c>
      <c r="G181" t="s">
        <v>100</v>
      </c>
      <c r="H181" t="s">
        <v>128</v>
      </c>
      <c r="I181" t="s">
        <v>100</v>
      </c>
      <c r="J181" t="s">
        <v>101</v>
      </c>
      <c r="K181" t="s">
        <v>559</v>
      </c>
      <c r="L181" t="s">
        <v>559</v>
      </c>
      <c r="M181" t="s">
        <v>100</v>
      </c>
      <c r="N181" t="s">
        <v>514</v>
      </c>
      <c r="O181" t="s">
        <v>100</v>
      </c>
      <c r="Q181" t="s">
        <v>514</v>
      </c>
      <c r="R181" t="s">
        <v>119</v>
      </c>
      <c r="S181" t="s">
        <v>130</v>
      </c>
      <c r="T181" t="s">
        <v>120</v>
      </c>
      <c r="U181" t="s">
        <v>101</v>
      </c>
      <c r="V181" t="s">
        <v>121</v>
      </c>
      <c r="W181" t="s">
        <v>122</v>
      </c>
      <c r="X181" t="s">
        <v>123</v>
      </c>
      <c r="Y181">
        <v>1</v>
      </c>
      <c r="Z181" t="s">
        <v>587</v>
      </c>
      <c r="AA181" s="280">
        <v>41586</v>
      </c>
      <c r="AB181" t="s">
        <v>114</v>
      </c>
      <c r="AC181" t="s">
        <v>124</v>
      </c>
      <c r="AD181" s="280">
        <v>44651</v>
      </c>
      <c r="AE181" t="s">
        <v>125</v>
      </c>
      <c r="AF181">
        <v>6</v>
      </c>
      <c r="AG181">
        <v>0</v>
      </c>
      <c r="AH181">
        <v>0</v>
      </c>
      <c r="AI181" t="s">
        <v>126</v>
      </c>
      <c r="AL181">
        <v>1</v>
      </c>
      <c r="AN181">
        <v>1</v>
      </c>
      <c r="AO181">
        <v>0</v>
      </c>
      <c r="AP181" t="s">
        <v>1050</v>
      </c>
      <c r="AR181" t="s">
        <v>127</v>
      </c>
      <c r="AS181">
        <v>4900</v>
      </c>
      <c r="AU181">
        <v>0</v>
      </c>
      <c r="AV181">
        <v>0</v>
      </c>
      <c r="AW181">
        <v>0</v>
      </c>
      <c r="AX181">
        <v>4900</v>
      </c>
      <c r="AY181">
        <v>272.22222222222263</v>
      </c>
      <c r="AZ181">
        <v>0</v>
      </c>
      <c r="BC181">
        <v>-4627.7777777777774</v>
      </c>
      <c r="BE181" t="s">
        <v>114</v>
      </c>
      <c r="BH181">
        <v>-272.22222222222263</v>
      </c>
      <c r="BI181">
        <v>-22.685185185185219</v>
      </c>
      <c r="BK181" t="s">
        <v>116</v>
      </c>
      <c r="BL181">
        <v>0</v>
      </c>
      <c r="BM181">
        <v>-4900</v>
      </c>
      <c r="BR181">
        <v>0</v>
      </c>
      <c r="BS181">
        <v>0</v>
      </c>
      <c r="BW181" t="s">
        <v>167</v>
      </c>
      <c r="BX181" t="s">
        <v>168</v>
      </c>
      <c r="BZ181" t="s">
        <v>944</v>
      </c>
    </row>
    <row r="182" spans="1:78">
      <c r="A182" t="s">
        <v>355</v>
      </c>
      <c r="B182" t="s">
        <v>907</v>
      </c>
      <c r="C182" t="s">
        <v>54</v>
      </c>
      <c r="D182" t="s">
        <v>1</v>
      </c>
      <c r="E182" t="s">
        <v>115</v>
      </c>
      <c r="F182" t="s">
        <v>99</v>
      </c>
      <c r="G182" t="s">
        <v>100</v>
      </c>
      <c r="H182" t="s">
        <v>128</v>
      </c>
      <c r="I182" t="s">
        <v>100</v>
      </c>
      <c r="J182" t="s">
        <v>101</v>
      </c>
      <c r="K182" t="s">
        <v>559</v>
      </c>
      <c r="L182" t="s">
        <v>559</v>
      </c>
      <c r="M182" t="s">
        <v>100</v>
      </c>
      <c r="N182" t="s">
        <v>509</v>
      </c>
      <c r="O182" t="s">
        <v>100</v>
      </c>
      <c r="Q182" t="s">
        <v>509</v>
      </c>
      <c r="R182" t="s">
        <v>119</v>
      </c>
      <c r="S182" t="s">
        <v>130</v>
      </c>
      <c r="T182" t="s">
        <v>120</v>
      </c>
      <c r="U182" t="s">
        <v>101</v>
      </c>
      <c r="V182" t="s">
        <v>121</v>
      </c>
      <c r="W182" t="s">
        <v>122</v>
      </c>
      <c r="X182" t="s">
        <v>123</v>
      </c>
      <c r="Y182">
        <v>1</v>
      </c>
      <c r="Z182" t="s">
        <v>586</v>
      </c>
      <c r="AA182" s="280">
        <v>41533</v>
      </c>
      <c r="AB182" t="s">
        <v>114</v>
      </c>
      <c r="AC182" t="s">
        <v>124</v>
      </c>
      <c r="AD182" s="280">
        <v>44651</v>
      </c>
      <c r="AE182" t="s">
        <v>125</v>
      </c>
      <c r="AF182">
        <v>6</v>
      </c>
      <c r="AG182">
        <v>0</v>
      </c>
      <c r="AH182">
        <v>0</v>
      </c>
      <c r="AI182" t="s">
        <v>126</v>
      </c>
      <c r="AL182">
        <v>1</v>
      </c>
      <c r="AN182">
        <v>1</v>
      </c>
      <c r="AO182">
        <v>0</v>
      </c>
      <c r="AP182" t="s">
        <v>1050</v>
      </c>
      <c r="AR182" t="s">
        <v>127</v>
      </c>
      <c r="AS182">
        <v>4250</v>
      </c>
      <c r="AU182">
        <v>0</v>
      </c>
      <c r="AV182">
        <v>0</v>
      </c>
      <c r="AW182">
        <v>0</v>
      </c>
      <c r="AX182">
        <v>4250</v>
      </c>
      <c r="AY182">
        <v>236.11111111111131</v>
      </c>
      <c r="AZ182">
        <v>0</v>
      </c>
      <c r="BC182">
        <v>-4013.8888888888887</v>
      </c>
      <c r="BE182" t="s">
        <v>114</v>
      </c>
      <c r="BH182">
        <v>-236.11111111111131</v>
      </c>
      <c r="BI182">
        <v>-19.675925925925942</v>
      </c>
      <c r="BK182" t="s">
        <v>116</v>
      </c>
      <c r="BL182">
        <v>0</v>
      </c>
      <c r="BM182">
        <v>-4250</v>
      </c>
      <c r="BR182">
        <v>0</v>
      </c>
      <c r="BS182">
        <v>0</v>
      </c>
      <c r="BW182" t="s">
        <v>167</v>
      </c>
      <c r="BX182" t="s">
        <v>168</v>
      </c>
      <c r="BZ182" t="s">
        <v>1000</v>
      </c>
    </row>
    <row r="183" spans="1:78">
      <c r="A183" t="s">
        <v>356</v>
      </c>
      <c r="B183" t="s">
        <v>908</v>
      </c>
      <c r="C183" t="s">
        <v>54</v>
      </c>
      <c r="D183" t="s">
        <v>1</v>
      </c>
      <c r="E183" t="s">
        <v>115</v>
      </c>
      <c r="F183" t="s">
        <v>99</v>
      </c>
      <c r="G183" t="s">
        <v>100</v>
      </c>
      <c r="H183" t="s">
        <v>128</v>
      </c>
      <c r="I183" t="s">
        <v>100</v>
      </c>
      <c r="J183" t="s">
        <v>101</v>
      </c>
      <c r="K183" t="s">
        <v>559</v>
      </c>
      <c r="L183" t="s">
        <v>559</v>
      </c>
      <c r="M183" t="s">
        <v>100</v>
      </c>
      <c r="N183" t="s">
        <v>509</v>
      </c>
      <c r="O183" t="s">
        <v>100</v>
      </c>
      <c r="Q183" t="s">
        <v>509</v>
      </c>
      <c r="R183" t="s">
        <v>119</v>
      </c>
      <c r="S183" t="s">
        <v>130</v>
      </c>
      <c r="T183" t="s">
        <v>120</v>
      </c>
      <c r="U183" t="s">
        <v>101</v>
      </c>
      <c r="V183" t="s">
        <v>121</v>
      </c>
      <c r="W183" t="s">
        <v>122</v>
      </c>
      <c r="X183" t="s">
        <v>123</v>
      </c>
      <c r="Y183">
        <v>1</v>
      </c>
      <c r="Z183" t="s">
        <v>586</v>
      </c>
      <c r="AA183" s="280">
        <v>41533</v>
      </c>
      <c r="AB183" t="s">
        <v>114</v>
      </c>
      <c r="AC183" t="s">
        <v>124</v>
      </c>
      <c r="AD183" s="280">
        <v>44651</v>
      </c>
      <c r="AE183" t="s">
        <v>125</v>
      </c>
      <c r="AF183">
        <v>6</v>
      </c>
      <c r="AG183">
        <v>0</v>
      </c>
      <c r="AH183">
        <v>0</v>
      </c>
      <c r="AI183" t="s">
        <v>126</v>
      </c>
      <c r="AL183">
        <v>1</v>
      </c>
      <c r="AN183">
        <v>1</v>
      </c>
      <c r="AO183">
        <v>0</v>
      </c>
      <c r="AP183" t="s">
        <v>1050</v>
      </c>
      <c r="AR183" t="s">
        <v>127</v>
      </c>
      <c r="AS183">
        <v>4250</v>
      </c>
      <c r="AU183">
        <v>0</v>
      </c>
      <c r="AV183">
        <v>0</v>
      </c>
      <c r="AW183">
        <v>0</v>
      </c>
      <c r="AX183">
        <v>4250</v>
      </c>
      <c r="AY183">
        <v>236.11111111111131</v>
      </c>
      <c r="AZ183">
        <v>0</v>
      </c>
      <c r="BC183">
        <v>-4013.8888888888887</v>
      </c>
      <c r="BE183" t="s">
        <v>114</v>
      </c>
      <c r="BH183">
        <v>-236.11111111111131</v>
      </c>
      <c r="BI183">
        <v>-19.675925925925942</v>
      </c>
      <c r="BK183" t="s">
        <v>116</v>
      </c>
      <c r="BL183">
        <v>0</v>
      </c>
      <c r="BM183">
        <v>-4250</v>
      </c>
      <c r="BR183">
        <v>0</v>
      </c>
      <c r="BS183">
        <v>0</v>
      </c>
      <c r="BW183" t="s">
        <v>167</v>
      </c>
      <c r="BX183" t="s">
        <v>168</v>
      </c>
      <c r="BZ183" t="s">
        <v>1001</v>
      </c>
    </row>
    <row r="184" spans="1:78">
      <c r="A184" t="s">
        <v>357</v>
      </c>
      <c r="B184" t="s">
        <v>867</v>
      </c>
      <c r="C184" t="s">
        <v>54</v>
      </c>
      <c r="D184" t="s">
        <v>1</v>
      </c>
      <c r="E184" t="s">
        <v>115</v>
      </c>
      <c r="F184" t="s">
        <v>99</v>
      </c>
      <c r="G184" t="s">
        <v>100</v>
      </c>
      <c r="H184" t="s">
        <v>128</v>
      </c>
      <c r="I184" t="s">
        <v>100</v>
      </c>
      <c r="J184" t="s">
        <v>101</v>
      </c>
      <c r="K184" t="s">
        <v>559</v>
      </c>
      <c r="L184" t="s">
        <v>559</v>
      </c>
      <c r="M184" t="s">
        <v>100</v>
      </c>
      <c r="N184" t="s">
        <v>509</v>
      </c>
      <c r="O184" t="s">
        <v>100</v>
      </c>
      <c r="Q184" t="s">
        <v>509</v>
      </c>
      <c r="R184" t="s">
        <v>119</v>
      </c>
      <c r="S184" t="s">
        <v>130</v>
      </c>
      <c r="T184" t="s">
        <v>120</v>
      </c>
      <c r="U184" t="s">
        <v>101</v>
      </c>
      <c r="V184" t="s">
        <v>121</v>
      </c>
      <c r="W184" t="s">
        <v>122</v>
      </c>
      <c r="X184" t="s">
        <v>123</v>
      </c>
      <c r="Y184">
        <v>1</v>
      </c>
      <c r="Z184" t="s">
        <v>586</v>
      </c>
      <c r="AA184" s="280">
        <v>41533</v>
      </c>
      <c r="AB184" t="s">
        <v>114</v>
      </c>
      <c r="AC184" t="s">
        <v>124</v>
      </c>
      <c r="AD184" s="280">
        <v>44651</v>
      </c>
      <c r="AE184" t="s">
        <v>125</v>
      </c>
      <c r="AF184">
        <v>6</v>
      </c>
      <c r="AG184">
        <v>0</v>
      </c>
      <c r="AH184">
        <v>0</v>
      </c>
      <c r="AI184" t="s">
        <v>126</v>
      </c>
      <c r="AL184">
        <v>1</v>
      </c>
      <c r="AN184">
        <v>1</v>
      </c>
      <c r="AO184">
        <v>0</v>
      </c>
      <c r="AP184" t="s">
        <v>1052</v>
      </c>
      <c r="AR184" t="s">
        <v>127</v>
      </c>
      <c r="AS184">
        <v>4250</v>
      </c>
      <c r="AU184">
        <v>0</v>
      </c>
      <c r="AV184">
        <v>0</v>
      </c>
      <c r="AW184">
        <v>0</v>
      </c>
      <c r="AX184">
        <v>4250</v>
      </c>
      <c r="AY184">
        <v>236.11111111111131</v>
      </c>
      <c r="AZ184">
        <v>0</v>
      </c>
      <c r="BC184">
        <v>-4013.8888888888887</v>
      </c>
      <c r="BE184" t="s">
        <v>114</v>
      </c>
      <c r="BH184">
        <v>-236.11111111111131</v>
      </c>
      <c r="BI184">
        <v>-19.675925925925942</v>
      </c>
      <c r="BK184" t="s">
        <v>116</v>
      </c>
      <c r="BL184">
        <v>0</v>
      </c>
      <c r="BM184">
        <v>-4250</v>
      </c>
      <c r="BR184">
        <v>0</v>
      </c>
      <c r="BS184">
        <v>0</v>
      </c>
      <c r="BW184" t="s">
        <v>167</v>
      </c>
      <c r="BX184" t="s">
        <v>168</v>
      </c>
      <c r="BZ184" t="s">
        <v>951</v>
      </c>
    </row>
    <row r="185" spans="1:78">
      <c r="A185" t="s">
        <v>358</v>
      </c>
      <c r="B185" t="s">
        <v>873</v>
      </c>
      <c r="C185" t="s">
        <v>54</v>
      </c>
      <c r="D185" t="s">
        <v>1</v>
      </c>
      <c r="E185" t="s">
        <v>115</v>
      </c>
      <c r="F185" t="s">
        <v>99</v>
      </c>
      <c r="G185" t="s">
        <v>100</v>
      </c>
      <c r="H185" t="s">
        <v>128</v>
      </c>
      <c r="I185" t="s">
        <v>100</v>
      </c>
      <c r="J185" t="s">
        <v>101</v>
      </c>
      <c r="K185" t="s">
        <v>559</v>
      </c>
      <c r="L185" t="s">
        <v>559</v>
      </c>
      <c r="M185" t="s">
        <v>100</v>
      </c>
      <c r="N185" t="s">
        <v>509</v>
      </c>
      <c r="O185" t="s">
        <v>100</v>
      </c>
      <c r="Q185" t="s">
        <v>509</v>
      </c>
      <c r="R185" t="s">
        <v>119</v>
      </c>
      <c r="S185" t="s">
        <v>130</v>
      </c>
      <c r="T185" t="s">
        <v>120</v>
      </c>
      <c r="U185" t="s">
        <v>101</v>
      </c>
      <c r="V185" t="s">
        <v>121</v>
      </c>
      <c r="W185" t="s">
        <v>122</v>
      </c>
      <c r="X185" t="s">
        <v>123</v>
      </c>
      <c r="Y185">
        <v>1</v>
      </c>
      <c r="Z185" t="s">
        <v>586</v>
      </c>
      <c r="AA185" s="280">
        <v>41533</v>
      </c>
      <c r="AB185" t="s">
        <v>114</v>
      </c>
      <c r="AC185" t="s">
        <v>124</v>
      </c>
      <c r="AD185" s="280">
        <v>44651</v>
      </c>
      <c r="AE185" t="s">
        <v>125</v>
      </c>
      <c r="AF185">
        <v>6</v>
      </c>
      <c r="AG185">
        <v>0</v>
      </c>
      <c r="AH185">
        <v>0</v>
      </c>
      <c r="AI185" t="s">
        <v>126</v>
      </c>
      <c r="AL185">
        <v>1</v>
      </c>
      <c r="AN185">
        <v>1</v>
      </c>
      <c r="AO185">
        <v>0</v>
      </c>
      <c r="AP185" t="s">
        <v>1050</v>
      </c>
      <c r="AR185" t="s">
        <v>127</v>
      </c>
      <c r="AS185">
        <v>4250</v>
      </c>
      <c r="AU185">
        <v>0</v>
      </c>
      <c r="AV185">
        <v>0</v>
      </c>
      <c r="AW185">
        <v>0</v>
      </c>
      <c r="AX185">
        <v>4250</v>
      </c>
      <c r="AY185">
        <v>236.11111111111131</v>
      </c>
      <c r="AZ185">
        <v>0</v>
      </c>
      <c r="BC185">
        <v>-4013.8888888888887</v>
      </c>
      <c r="BE185" t="s">
        <v>114</v>
      </c>
      <c r="BH185">
        <v>-236.11111111111131</v>
      </c>
      <c r="BI185">
        <v>-19.675925925925942</v>
      </c>
      <c r="BK185" t="s">
        <v>116</v>
      </c>
      <c r="BL185">
        <v>0</v>
      </c>
      <c r="BM185">
        <v>-4250</v>
      </c>
      <c r="BR185">
        <v>0</v>
      </c>
      <c r="BS185">
        <v>0</v>
      </c>
      <c r="BW185" t="s">
        <v>167</v>
      </c>
      <c r="BX185" t="s">
        <v>168</v>
      </c>
      <c r="BZ185" t="s">
        <v>957</v>
      </c>
    </row>
    <row r="186" spans="1:78">
      <c r="A186" t="s">
        <v>359</v>
      </c>
      <c r="B186" t="s">
        <v>903</v>
      </c>
      <c r="C186" t="s">
        <v>54</v>
      </c>
      <c r="D186" t="s">
        <v>1</v>
      </c>
      <c r="E186" t="s">
        <v>115</v>
      </c>
      <c r="F186" t="s">
        <v>99</v>
      </c>
      <c r="G186" t="s">
        <v>100</v>
      </c>
      <c r="H186" t="s">
        <v>128</v>
      </c>
      <c r="I186" t="s">
        <v>100</v>
      </c>
      <c r="J186" t="s">
        <v>101</v>
      </c>
      <c r="K186" t="s">
        <v>559</v>
      </c>
      <c r="L186" t="s">
        <v>559</v>
      </c>
      <c r="M186" t="s">
        <v>100</v>
      </c>
      <c r="N186" t="s">
        <v>509</v>
      </c>
      <c r="O186" t="s">
        <v>100</v>
      </c>
      <c r="Q186" t="s">
        <v>509</v>
      </c>
      <c r="R186" t="s">
        <v>119</v>
      </c>
      <c r="S186" t="s">
        <v>130</v>
      </c>
      <c r="T186" t="s">
        <v>120</v>
      </c>
      <c r="U186" t="s">
        <v>101</v>
      </c>
      <c r="V186" t="s">
        <v>121</v>
      </c>
      <c r="W186" t="s">
        <v>122</v>
      </c>
      <c r="X186" t="s">
        <v>123</v>
      </c>
      <c r="Y186">
        <v>1</v>
      </c>
      <c r="Z186" t="s">
        <v>586</v>
      </c>
      <c r="AA186" s="280">
        <v>41533</v>
      </c>
      <c r="AB186" t="s">
        <v>114</v>
      </c>
      <c r="AC186" t="s">
        <v>124</v>
      </c>
      <c r="AD186" s="280">
        <v>44651</v>
      </c>
      <c r="AE186" t="s">
        <v>125</v>
      </c>
      <c r="AF186">
        <v>6</v>
      </c>
      <c r="AG186">
        <v>0</v>
      </c>
      <c r="AH186">
        <v>0</v>
      </c>
      <c r="AI186" t="s">
        <v>126</v>
      </c>
      <c r="AL186">
        <v>1</v>
      </c>
      <c r="AN186">
        <v>1</v>
      </c>
      <c r="AO186">
        <v>0</v>
      </c>
      <c r="AP186" t="s">
        <v>1050</v>
      </c>
      <c r="AR186" t="s">
        <v>127</v>
      </c>
      <c r="AS186">
        <v>4250</v>
      </c>
      <c r="AU186">
        <v>0</v>
      </c>
      <c r="AV186">
        <v>0</v>
      </c>
      <c r="AW186">
        <v>0</v>
      </c>
      <c r="AX186">
        <v>4250</v>
      </c>
      <c r="AY186">
        <v>236.11111111111131</v>
      </c>
      <c r="AZ186">
        <v>0</v>
      </c>
      <c r="BC186">
        <v>-4013.8888888888887</v>
      </c>
      <c r="BE186" t="s">
        <v>114</v>
      </c>
      <c r="BH186">
        <v>-236.11111111111131</v>
      </c>
      <c r="BI186">
        <v>-19.675925925925942</v>
      </c>
      <c r="BK186" t="s">
        <v>116</v>
      </c>
      <c r="BL186">
        <v>0</v>
      </c>
      <c r="BM186">
        <v>-4250</v>
      </c>
      <c r="BR186">
        <v>0</v>
      </c>
      <c r="BS186">
        <v>0</v>
      </c>
      <c r="BW186" t="s">
        <v>167</v>
      </c>
      <c r="BX186" t="s">
        <v>168</v>
      </c>
      <c r="BZ186" t="s">
        <v>994</v>
      </c>
    </row>
    <row r="187" spans="1:78">
      <c r="A187" t="s">
        <v>360</v>
      </c>
      <c r="B187" t="s">
        <v>877</v>
      </c>
      <c r="C187" t="s">
        <v>54</v>
      </c>
      <c r="D187" t="s">
        <v>1</v>
      </c>
      <c r="E187" t="s">
        <v>115</v>
      </c>
      <c r="F187" t="s">
        <v>99</v>
      </c>
      <c r="G187" t="s">
        <v>100</v>
      </c>
      <c r="H187" t="s">
        <v>128</v>
      </c>
      <c r="I187" t="s">
        <v>100</v>
      </c>
      <c r="J187" t="s">
        <v>101</v>
      </c>
      <c r="K187" t="s">
        <v>559</v>
      </c>
      <c r="L187" t="s">
        <v>559</v>
      </c>
      <c r="M187" t="s">
        <v>100</v>
      </c>
      <c r="N187" t="s">
        <v>516</v>
      </c>
      <c r="O187" t="s">
        <v>100</v>
      </c>
      <c r="Q187" t="s">
        <v>516</v>
      </c>
      <c r="R187" t="s">
        <v>119</v>
      </c>
      <c r="S187" t="s">
        <v>130</v>
      </c>
      <c r="T187" t="s">
        <v>120</v>
      </c>
      <c r="U187" t="s">
        <v>101</v>
      </c>
      <c r="V187" t="s">
        <v>121</v>
      </c>
      <c r="W187" t="s">
        <v>122</v>
      </c>
      <c r="X187" t="s">
        <v>123</v>
      </c>
      <c r="Y187">
        <v>1</v>
      </c>
      <c r="Z187" t="s">
        <v>586</v>
      </c>
      <c r="AA187" s="280">
        <v>41533</v>
      </c>
      <c r="AB187" t="s">
        <v>114</v>
      </c>
      <c r="AC187" t="s">
        <v>124</v>
      </c>
      <c r="AD187" s="280">
        <v>44651</v>
      </c>
      <c r="AE187" t="s">
        <v>125</v>
      </c>
      <c r="AF187">
        <v>6</v>
      </c>
      <c r="AG187">
        <v>0</v>
      </c>
      <c r="AH187">
        <v>0</v>
      </c>
      <c r="AI187" t="s">
        <v>126</v>
      </c>
      <c r="AL187">
        <v>1</v>
      </c>
      <c r="AN187">
        <v>1</v>
      </c>
      <c r="AO187">
        <v>0</v>
      </c>
      <c r="AP187" t="s">
        <v>1052</v>
      </c>
      <c r="AR187" t="s">
        <v>127</v>
      </c>
      <c r="AS187">
        <v>4250</v>
      </c>
      <c r="AU187">
        <v>0</v>
      </c>
      <c r="AV187">
        <v>0</v>
      </c>
      <c r="AW187">
        <v>0</v>
      </c>
      <c r="AX187">
        <v>4250</v>
      </c>
      <c r="AY187">
        <v>236.11111111111131</v>
      </c>
      <c r="AZ187">
        <v>0</v>
      </c>
      <c r="BC187">
        <v>-4013.8888888888887</v>
      </c>
      <c r="BE187" t="s">
        <v>114</v>
      </c>
      <c r="BH187">
        <v>-236.11111111111131</v>
      </c>
      <c r="BI187">
        <v>-19.675925925925942</v>
      </c>
      <c r="BK187" t="s">
        <v>116</v>
      </c>
      <c r="BL187">
        <v>0</v>
      </c>
      <c r="BM187">
        <v>-4250</v>
      </c>
      <c r="BR187">
        <v>0</v>
      </c>
      <c r="BS187">
        <v>0</v>
      </c>
      <c r="BW187" t="s">
        <v>167</v>
      </c>
      <c r="BX187" t="s">
        <v>168</v>
      </c>
      <c r="BZ187" t="s">
        <v>1002</v>
      </c>
    </row>
    <row r="188" spans="1:78">
      <c r="A188" t="s">
        <v>361</v>
      </c>
      <c r="B188" t="s">
        <v>884</v>
      </c>
      <c r="C188" t="s">
        <v>54</v>
      </c>
      <c r="D188" t="s">
        <v>1</v>
      </c>
      <c r="E188" t="s">
        <v>115</v>
      </c>
      <c r="F188" t="s">
        <v>99</v>
      </c>
      <c r="G188" t="s">
        <v>100</v>
      </c>
      <c r="H188" t="s">
        <v>128</v>
      </c>
      <c r="I188" t="s">
        <v>100</v>
      </c>
      <c r="J188" t="s">
        <v>101</v>
      </c>
      <c r="K188" t="s">
        <v>559</v>
      </c>
      <c r="L188" t="s">
        <v>559</v>
      </c>
      <c r="M188" t="s">
        <v>100</v>
      </c>
      <c r="N188" t="s">
        <v>514</v>
      </c>
      <c r="O188" t="s">
        <v>100</v>
      </c>
      <c r="Q188" t="s">
        <v>514</v>
      </c>
      <c r="R188" t="s">
        <v>119</v>
      </c>
      <c r="S188" t="s">
        <v>130</v>
      </c>
      <c r="T188" t="s">
        <v>120</v>
      </c>
      <c r="U188" t="s">
        <v>101</v>
      </c>
      <c r="V188" t="s">
        <v>121</v>
      </c>
      <c r="W188" t="s">
        <v>122</v>
      </c>
      <c r="X188" t="s">
        <v>123</v>
      </c>
      <c r="Y188">
        <v>1</v>
      </c>
      <c r="Z188" t="s">
        <v>586</v>
      </c>
      <c r="AA188" s="280">
        <v>41533</v>
      </c>
      <c r="AB188" t="s">
        <v>114</v>
      </c>
      <c r="AC188" t="s">
        <v>124</v>
      </c>
      <c r="AD188" s="280">
        <v>44651</v>
      </c>
      <c r="AE188" t="s">
        <v>125</v>
      </c>
      <c r="AF188">
        <v>6</v>
      </c>
      <c r="AG188">
        <v>0</v>
      </c>
      <c r="AH188">
        <v>0</v>
      </c>
      <c r="AI188" t="s">
        <v>126</v>
      </c>
      <c r="AL188">
        <v>1</v>
      </c>
      <c r="AN188">
        <v>1</v>
      </c>
      <c r="AO188">
        <v>0</v>
      </c>
      <c r="AP188" t="s">
        <v>1050</v>
      </c>
      <c r="AR188" t="s">
        <v>127</v>
      </c>
      <c r="AS188">
        <v>2616.25</v>
      </c>
      <c r="AU188">
        <v>0</v>
      </c>
      <c r="AV188">
        <v>0</v>
      </c>
      <c r="AW188">
        <v>0</v>
      </c>
      <c r="AX188">
        <v>2616.25</v>
      </c>
      <c r="AY188">
        <v>145.34722222222217</v>
      </c>
      <c r="AZ188">
        <v>0</v>
      </c>
      <c r="BC188">
        <v>-2470.9027777777778</v>
      </c>
      <c r="BE188" t="s">
        <v>114</v>
      </c>
      <c r="BH188">
        <v>-145.34722222222217</v>
      </c>
      <c r="BI188">
        <v>-12.112268518518514</v>
      </c>
      <c r="BK188" t="s">
        <v>116</v>
      </c>
      <c r="BL188">
        <v>0</v>
      </c>
      <c r="BM188">
        <v>-2616.25</v>
      </c>
      <c r="BR188">
        <v>0</v>
      </c>
      <c r="BS188">
        <v>0</v>
      </c>
      <c r="BW188" t="s">
        <v>167</v>
      </c>
      <c r="BX188" t="s">
        <v>168</v>
      </c>
      <c r="BZ188" t="s">
        <v>1003</v>
      </c>
    </row>
    <row r="189" spans="1:78">
      <c r="A189" t="s">
        <v>362</v>
      </c>
      <c r="B189" t="s">
        <v>877</v>
      </c>
      <c r="C189" t="s">
        <v>54</v>
      </c>
      <c r="D189" t="s">
        <v>1</v>
      </c>
      <c r="E189" t="s">
        <v>115</v>
      </c>
      <c r="F189" t="s">
        <v>99</v>
      </c>
      <c r="G189" t="s">
        <v>100</v>
      </c>
      <c r="H189" t="s">
        <v>128</v>
      </c>
      <c r="I189" t="s">
        <v>100</v>
      </c>
      <c r="J189" t="s">
        <v>101</v>
      </c>
      <c r="K189" t="s">
        <v>559</v>
      </c>
      <c r="L189" t="s">
        <v>559</v>
      </c>
      <c r="M189" t="s">
        <v>100</v>
      </c>
      <c r="N189" t="s">
        <v>509</v>
      </c>
      <c r="O189" t="s">
        <v>100</v>
      </c>
      <c r="Q189" t="s">
        <v>509</v>
      </c>
      <c r="R189" t="s">
        <v>119</v>
      </c>
      <c r="S189" t="s">
        <v>130</v>
      </c>
      <c r="T189" t="s">
        <v>120</v>
      </c>
      <c r="U189" t="s">
        <v>101</v>
      </c>
      <c r="V189" t="s">
        <v>121</v>
      </c>
      <c r="W189" t="s">
        <v>122</v>
      </c>
      <c r="X189" t="s">
        <v>123</v>
      </c>
      <c r="Y189">
        <v>1</v>
      </c>
      <c r="Z189" t="s">
        <v>586</v>
      </c>
      <c r="AA189" s="280">
        <v>41533</v>
      </c>
      <c r="AB189" t="s">
        <v>114</v>
      </c>
      <c r="AC189" t="s">
        <v>124</v>
      </c>
      <c r="AD189" s="280">
        <v>44651</v>
      </c>
      <c r="AE189" t="s">
        <v>125</v>
      </c>
      <c r="AF189">
        <v>6</v>
      </c>
      <c r="AG189">
        <v>0</v>
      </c>
      <c r="AH189">
        <v>0</v>
      </c>
      <c r="AI189" t="s">
        <v>126</v>
      </c>
      <c r="AL189">
        <v>1</v>
      </c>
      <c r="AN189">
        <v>1</v>
      </c>
      <c r="AO189">
        <v>0</v>
      </c>
      <c r="AP189" t="s">
        <v>1052</v>
      </c>
      <c r="AR189" t="s">
        <v>127</v>
      </c>
      <c r="AS189">
        <v>4250</v>
      </c>
      <c r="AU189">
        <v>0</v>
      </c>
      <c r="AV189">
        <v>0</v>
      </c>
      <c r="AW189">
        <v>0</v>
      </c>
      <c r="AX189">
        <v>4250</v>
      </c>
      <c r="AY189">
        <v>236.11111111111131</v>
      </c>
      <c r="AZ189">
        <v>0</v>
      </c>
      <c r="BC189">
        <v>-4013.8888888888887</v>
      </c>
      <c r="BE189" t="s">
        <v>114</v>
      </c>
      <c r="BH189">
        <v>-236.11111111111131</v>
      </c>
      <c r="BI189">
        <v>-19.675925925925942</v>
      </c>
      <c r="BK189" t="s">
        <v>116</v>
      </c>
      <c r="BL189">
        <v>0</v>
      </c>
      <c r="BM189">
        <v>-4250</v>
      </c>
      <c r="BR189">
        <v>0</v>
      </c>
      <c r="BS189">
        <v>0</v>
      </c>
      <c r="BW189" t="s">
        <v>167</v>
      </c>
      <c r="BX189" t="s">
        <v>168</v>
      </c>
      <c r="BZ189" t="s">
        <v>1004</v>
      </c>
    </row>
    <row r="190" spans="1:78">
      <c r="A190" t="s">
        <v>363</v>
      </c>
      <c r="B190" t="s">
        <v>867</v>
      </c>
      <c r="C190" t="s">
        <v>54</v>
      </c>
      <c r="D190" t="s">
        <v>1</v>
      </c>
      <c r="E190" t="s">
        <v>115</v>
      </c>
      <c r="F190" t="s">
        <v>99</v>
      </c>
      <c r="G190" t="s">
        <v>100</v>
      </c>
      <c r="H190" t="s">
        <v>128</v>
      </c>
      <c r="I190" t="s">
        <v>100</v>
      </c>
      <c r="J190" t="s">
        <v>101</v>
      </c>
      <c r="K190" t="s">
        <v>559</v>
      </c>
      <c r="L190" t="s">
        <v>559</v>
      </c>
      <c r="M190" t="s">
        <v>100</v>
      </c>
      <c r="N190" t="s">
        <v>515</v>
      </c>
      <c r="O190" t="s">
        <v>100</v>
      </c>
      <c r="Q190" t="s">
        <v>515</v>
      </c>
      <c r="R190" t="s">
        <v>119</v>
      </c>
      <c r="S190" t="s">
        <v>130</v>
      </c>
      <c r="T190" t="s">
        <v>120</v>
      </c>
      <c r="U190" t="s">
        <v>101</v>
      </c>
      <c r="V190" t="s">
        <v>121</v>
      </c>
      <c r="W190" t="s">
        <v>122</v>
      </c>
      <c r="X190" t="s">
        <v>123</v>
      </c>
      <c r="Y190">
        <v>1</v>
      </c>
      <c r="Z190" t="s">
        <v>586</v>
      </c>
      <c r="AA190" s="280">
        <v>41533</v>
      </c>
      <c r="AB190" t="s">
        <v>114</v>
      </c>
      <c r="AC190" t="s">
        <v>124</v>
      </c>
      <c r="AD190" s="280">
        <v>44651</v>
      </c>
      <c r="AE190" t="s">
        <v>125</v>
      </c>
      <c r="AF190">
        <v>6</v>
      </c>
      <c r="AG190">
        <v>0</v>
      </c>
      <c r="AH190">
        <v>0</v>
      </c>
      <c r="AI190" t="s">
        <v>126</v>
      </c>
      <c r="AL190">
        <v>1</v>
      </c>
      <c r="AN190">
        <v>1</v>
      </c>
      <c r="AO190">
        <v>0</v>
      </c>
      <c r="AP190" t="s">
        <v>1053</v>
      </c>
      <c r="AR190" t="s">
        <v>127</v>
      </c>
      <c r="AS190">
        <v>1600</v>
      </c>
      <c r="AU190">
        <v>0</v>
      </c>
      <c r="AV190">
        <v>0</v>
      </c>
      <c r="AW190">
        <v>0</v>
      </c>
      <c r="AX190">
        <v>1600</v>
      </c>
      <c r="AY190">
        <v>88.888888888888687</v>
      </c>
      <c r="AZ190">
        <v>0</v>
      </c>
      <c r="BC190">
        <v>-1511.1111111111113</v>
      </c>
      <c r="BE190" t="s">
        <v>114</v>
      </c>
      <c r="BH190">
        <v>-88.888888888888687</v>
      </c>
      <c r="BI190">
        <v>-7.4074074074073906</v>
      </c>
      <c r="BK190" t="s">
        <v>116</v>
      </c>
      <c r="BL190">
        <v>0</v>
      </c>
      <c r="BM190">
        <v>-1600</v>
      </c>
      <c r="BR190">
        <v>0</v>
      </c>
      <c r="BS190">
        <v>0</v>
      </c>
      <c r="BW190" t="s">
        <v>167</v>
      </c>
      <c r="BX190" t="s">
        <v>168</v>
      </c>
      <c r="BZ190" t="s">
        <v>1005</v>
      </c>
    </row>
    <row r="191" spans="1:78">
      <c r="A191" t="s">
        <v>364</v>
      </c>
      <c r="B191" t="s">
        <v>868</v>
      </c>
      <c r="C191" t="s">
        <v>54</v>
      </c>
      <c r="D191" t="s">
        <v>1</v>
      </c>
      <c r="E191" t="s">
        <v>115</v>
      </c>
      <c r="F191" t="s">
        <v>99</v>
      </c>
      <c r="G191" t="s">
        <v>100</v>
      </c>
      <c r="H191" t="s">
        <v>128</v>
      </c>
      <c r="I191" t="s">
        <v>100</v>
      </c>
      <c r="J191" t="s">
        <v>101</v>
      </c>
      <c r="K191" t="s">
        <v>559</v>
      </c>
      <c r="L191" t="s">
        <v>559</v>
      </c>
      <c r="M191" t="s">
        <v>100</v>
      </c>
      <c r="N191" t="s">
        <v>515</v>
      </c>
      <c r="O191" t="s">
        <v>100</v>
      </c>
      <c r="Q191" t="s">
        <v>515</v>
      </c>
      <c r="R191" t="s">
        <v>119</v>
      </c>
      <c r="S191" t="s">
        <v>130</v>
      </c>
      <c r="T191" t="s">
        <v>120</v>
      </c>
      <c r="U191" t="s">
        <v>101</v>
      </c>
      <c r="V191" t="s">
        <v>121</v>
      </c>
      <c r="W191" t="s">
        <v>122</v>
      </c>
      <c r="X191" t="s">
        <v>123</v>
      </c>
      <c r="Y191">
        <v>1</v>
      </c>
      <c r="Z191" t="s">
        <v>586</v>
      </c>
      <c r="AA191" s="280">
        <v>41533</v>
      </c>
      <c r="AB191" t="s">
        <v>114</v>
      </c>
      <c r="AC191" t="s">
        <v>124</v>
      </c>
      <c r="AD191" s="280">
        <v>44651</v>
      </c>
      <c r="AE191" t="s">
        <v>125</v>
      </c>
      <c r="AF191">
        <v>6</v>
      </c>
      <c r="AG191">
        <v>0</v>
      </c>
      <c r="AH191">
        <v>0</v>
      </c>
      <c r="AI191" t="s">
        <v>126</v>
      </c>
      <c r="AL191">
        <v>1</v>
      </c>
      <c r="AN191">
        <v>1</v>
      </c>
      <c r="AO191">
        <v>0</v>
      </c>
      <c r="AP191" t="s">
        <v>1052</v>
      </c>
      <c r="AR191" t="s">
        <v>127</v>
      </c>
      <c r="AS191">
        <v>1600</v>
      </c>
      <c r="AU191">
        <v>0</v>
      </c>
      <c r="AV191">
        <v>0</v>
      </c>
      <c r="AW191">
        <v>0</v>
      </c>
      <c r="AX191">
        <v>1600</v>
      </c>
      <c r="AY191">
        <v>88.888888888888687</v>
      </c>
      <c r="AZ191">
        <v>0</v>
      </c>
      <c r="BC191">
        <v>-1511.1111111111113</v>
      </c>
      <c r="BE191" t="s">
        <v>114</v>
      </c>
      <c r="BH191">
        <v>-88.888888888888687</v>
      </c>
      <c r="BI191">
        <v>-7.4074074074073906</v>
      </c>
      <c r="BK191" t="s">
        <v>116</v>
      </c>
      <c r="BL191">
        <v>0</v>
      </c>
      <c r="BM191">
        <v>-1600</v>
      </c>
      <c r="BR191">
        <v>0</v>
      </c>
      <c r="BS191">
        <v>0</v>
      </c>
      <c r="BW191" t="s">
        <v>167</v>
      </c>
      <c r="BX191" t="s">
        <v>168</v>
      </c>
      <c r="BZ191" t="s">
        <v>1006</v>
      </c>
    </row>
    <row r="192" spans="1:78">
      <c r="A192" t="s">
        <v>365</v>
      </c>
      <c r="B192" t="s">
        <v>891</v>
      </c>
      <c r="C192" t="s">
        <v>54</v>
      </c>
      <c r="D192" t="s">
        <v>1</v>
      </c>
      <c r="E192" t="s">
        <v>115</v>
      </c>
      <c r="F192" t="s">
        <v>99</v>
      </c>
      <c r="G192" t="s">
        <v>100</v>
      </c>
      <c r="H192" t="s">
        <v>128</v>
      </c>
      <c r="I192" t="s">
        <v>100</v>
      </c>
      <c r="J192" t="s">
        <v>101</v>
      </c>
      <c r="K192" t="s">
        <v>559</v>
      </c>
      <c r="L192" t="s">
        <v>559</v>
      </c>
      <c r="M192" t="s">
        <v>100</v>
      </c>
      <c r="N192" t="s">
        <v>514</v>
      </c>
      <c r="O192" t="s">
        <v>100</v>
      </c>
      <c r="Q192" t="s">
        <v>514</v>
      </c>
      <c r="R192" t="s">
        <v>119</v>
      </c>
      <c r="S192" t="s">
        <v>130</v>
      </c>
      <c r="T192" t="s">
        <v>120</v>
      </c>
      <c r="U192" t="s">
        <v>101</v>
      </c>
      <c r="V192" t="s">
        <v>121</v>
      </c>
      <c r="W192" t="s">
        <v>122</v>
      </c>
      <c r="X192" t="s">
        <v>123</v>
      </c>
      <c r="Y192">
        <v>1</v>
      </c>
      <c r="Z192" t="s">
        <v>586</v>
      </c>
      <c r="AA192" s="280">
        <v>41533</v>
      </c>
      <c r="AB192" t="s">
        <v>114</v>
      </c>
      <c r="AC192" t="s">
        <v>124</v>
      </c>
      <c r="AD192" s="280">
        <v>44651</v>
      </c>
      <c r="AE192" t="s">
        <v>125</v>
      </c>
      <c r="AF192">
        <v>6</v>
      </c>
      <c r="AG192">
        <v>0</v>
      </c>
      <c r="AH192">
        <v>0</v>
      </c>
      <c r="AI192" t="s">
        <v>126</v>
      </c>
      <c r="AL192">
        <v>1</v>
      </c>
      <c r="AN192">
        <v>1</v>
      </c>
      <c r="AO192">
        <v>0</v>
      </c>
      <c r="AP192" t="s">
        <v>1050</v>
      </c>
      <c r="AR192" t="s">
        <v>127</v>
      </c>
      <c r="AS192">
        <v>2616.25</v>
      </c>
      <c r="AU192">
        <v>0</v>
      </c>
      <c r="AV192">
        <v>0</v>
      </c>
      <c r="AW192">
        <v>0</v>
      </c>
      <c r="AX192">
        <v>2616.25</v>
      </c>
      <c r="AY192">
        <v>145.34722222222217</v>
      </c>
      <c r="AZ192">
        <v>0</v>
      </c>
      <c r="BC192">
        <v>-2470.9027777777778</v>
      </c>
      <c r="BE192" t="s">
        <v>114</v>
      </c>
      <c r="BH192">
        <v>-145.34722222222217</v>
      </c>
      <c r="BI192">
        <v>-12.112268518518514</v>
      </c>
      <c r="BK192" t="s">
        <v>116</v>
      </c>
      <c r="BL192">
        <v>0</v>
      </c>
      <c r="BM192">
        <v>-2616.25</v>
      </c>
      <c r="BR192">
        <v>0</v>
      </c>
      <c r="BS192">
        <v>0</v>
      </c>
      <c r="BW192" t="s">
        <v>167</v>
      </c>
      <c r="BX192" t="s">
        <v>168</v>
      </c>
      <c r="BZ192" t="s">
        <v>979</v>
      </c>
    </row>
    <row r="193" spans="1:78">
      <c r="A193" t="s">
        <v>366</v>
      </c>
      <c r="B193" t="s">
        <v>866</v>
      </c>
      <c r="C193" t="s">
        <v>54</v>
      </c>
      <c r="D193" t="s">
        <v>1</v>
      </c>
      <c r="E193" t="s">
        <v>115</v>
      </c>
      <c r="F193" t="s">
        <v>99</v>
      </c>
      <c r="G193" t="s">
        <v>100</v>
      </c>
      <c r="H193" t="s">
        <v>128</v>
      </c>
      <c r="I193" t="s">
        <v>100</v>
      </c>
      <c r="J193" t="s">
        <v>101</v>
      </c>
      <c r="K193" t="s">
        <v>559</v>
      </c>
      <c r="L193" t="s">
        <v>559</v>
      </c>
      <c r="M193" t="s">
        <v>100</v>
      </c>
      <c r="N193" t="s">
        <v>509</v>
      </c>
      <c r="O193" t="s">
        <v>100</v>
      </c>
      <c r="Q193" t="s">
        <v>509</v>
      </c>
      <c r="R193" t="s">
        <v>119</v>
      </c>
      <c r="S193" t="s">
        <v>130</v>
      </c>
      <c r="T193" t="s">
        <v>120</v>
      </c>
      <c r="U193" t="s">
        <v>101</v>
      </c>
      <c r="V193" t="s">
        <v>121</v>
      </c>
      <c r="W193" t="s">
        <v>122</v>
      </c>
      <c r="X193" t="s">
        <v>123</v>
      </c>
      <c r="Y193">
        <v>1</v>
      </c>
      <c r="Z193" t="s">
        <v>586</v>
      </c>
      <c r="AA193" s="280">
        <v>41533</v>
      </c>
      <c r="AB193" t="s">
        <v>114</v>
      </c>
      <c r="AC193" t="s">
        <v>124</v>
      </c>
      <c r="AD193" s="280">
        <v>44651</v>
      </c>
      <c r="AE193" t="s">
        <v>125</v>
      </c>
      <c r="AF193">
        <v>6</v>
      </c>
      <c r="AG193">
        <v>0</v>
      </c>
      <c r="AH193">
        <v>0</v>
      </c>
      <c r="AI193" t="s">
        <v>126</v>
      </c>
      <c r="AL193">
        <v>1</v>
      </c>
      <c r="AN193">
        <v>1</v>
      </c>
      <c r="AO193">
        <v>0</v>
      </c>
      <c r="AP193" t="s">
        <v>1050</v>
      </c>
      <c r="AR193" t="s">
        <v>127</v>
      </c>
      <c r="AS193">
        <v>4250</v>
      </c>
      <c r="AU193">
        <v>0</v>
      </c>
      <c r="AV193">
        <v>0</v>
      </c>
      <c r="AW193">
        <v>0</v>
      </c>
      <c r="AX193">
        <v>4250</v>
      </c>
      <c r="AY193">
        <v>236.11111111111131</v>
      </c>
      <c r="AZ193">
        <v>0</v>
      </c>
      <c r="BC193">
        <v>-4013.8888888888887</v>
      </c>
      <c r="BE193" t="s">
        <v>114</v>
      </c>
      <c r="BH193">
        <v>-236.11111111111131</v>
      </c>
      <c r="BI193">
        <v>-19.675925925925942</v>
      </c>
      <c r="BK193" t="s">
        <v>116</v>
      </c>
      <c r="BL193">
        <v>0</v>
      </c>
      <c r="BM193">
        <v>-4250</v>
      </c>
      <c r="BR193">
        <v>0</v>
      </c>
      <c r="BS193">
        <v>0</v>
      </c>
      <c r="BW193" t="s">
        <v>167</v>
      </c>
      <c r="BX193" t="s">
        <v>168</v>
      </c>
      <c r="BZ193" t="s">
        <v>985</v>
      </c>
    </row>
    <row r="194" spans="1:78">
      <c r="A194" t="s">
        <v>367</v>
      </c>
      <c r="B194" t="s">
        <v>874</v>
      </c>
      <c r="C194" t="s">
        <v>54</v>
      </c>
      <c r="D194" t="s">
        <v>1</v>
      </c>
      <c r="E194" t="s">
        <v>115</v>
      </c>
      <c r="F194" t="s">
        <v>99</v>
      </c>
      <c r="G194" t="s">
        <v>100</v>
      </c>
      <c r="H194" t="s">
        <v>128</v>
      </c>
      <c r="I194" t="s">
        <v>100</v>
      </c>
      <c r="J194" t="s">
        <v>101</v>
      </c>
      <c r="K194" t="s">
        <v>559</v>
      </c>
      <c r="L194" t="s">
        <v>559</v>
      </c>
      <c r="M194" t="s">
        <v>100</v>
      </c>
      <c r="N194" t="s">
        <v>509</v>
      </c>
      <c r="O194" t="s">
        <v>100</v>
      </c>
      <c r="Q194" t="s">
        <v>509</v>
      </c>
      <c r="R194" t="s">
        <v>119</v>
      </c>
      <c r="S194" t="s">
        <v>130</v>
      </c>
      <c r="T194" t="s">
        <v>120</v>
      </c>
      <c r="U194" t="s">
        <v>101</v>
      </c>
      <c r="V194" t="s">
        <v>121</v>
      </c>
      <c r="W194" t="s">
        <v>122</v>
      </c>
      <c r="X194" t="s">
        <v>123</v>
      </c>
      <c r="Y194">
        <v>1</v>
      </c>
      <c r="Z194" t="s">
        <v>586</v>
      </c>
      <c r="AA194" s="280">
        <v>41533</v>
      </c>
      <c r="AB194" t="s">
        <v>114</v>
      </c>
      <c r="AC194" t="s">
        <v>124</v>
      </c>
      <c r="AD194" s="280">
        <v>44651</v>
      </c>
      <c r="AE194" t="s">
        <v>125</v>
      </c>
      <c r="AF194">
        <v>6</v>
      </c>
      <c r="AG194">
        <v>0</v>
      </c>
      <c r="AH194">
        <v>0</v>
      </c>
      <c r="AI194" t="s">
        <v>126</v>
      </c>
      <c r="AL194">
        <v>1</v>
      </c>
      <c r="AN194">
        <v>1</v>
      </c>
      <c r="AO194">
        <v>0</v>
      </c>
      <c r="AP194" t="s">
        <v>1050</v>
      </c>
      <c r="AR194" t="s">
        <v>127</v>
      </c>
      <c r="AS194">
        <v>4250</v>
      </c>
      <c r="AU194">
        <v>0</v>
      </c>
      <c r="AV194">
        <v>0</v>
      </c>
      <c r="AW194">
        <v>0</v>
      </c>
      <c r="AX194">
        <v>4250</v>
      </c>
      <c r="AY194">
        <v>236.11111111111131</v>
      </c>
      <c r="AZ194">
        <v>0</v>
      </c>
      <c r="BC194">
        <v>-4013.8888888888887</v>
      </c>
      <c r="BE194" t="s">
        <v>114</v>
      </c>
      <c r="BH194">
        <v>-236.11111111111131</v>
      </c>
      <c r="BI194">
        <v>-19.675925925925942</v>
      </c>
      <c r="BK194" t="s">
        <v>116</v>
      </c>
      <c r="BL194">
        <v>0</v>
      </c>
      <c r="BM194">
        <v>-4250</v>
      </c>
      <c r="BR194">
        <v>0</v>
      </c>
      <c r="BS194">
        <v>0</v>
      </c>
      <c r="BW194" t="s">
        <v>167</v>
      </c>
      <c r="BX194" t="s">
        <v>168</v>
      </c>
      <c r="BZ194" t="s">
        <v>959</v>
      </c>
    </row>
    <row r="195" spans="1:78">
      <c r="A195" t="s">
        <v>368</v>
      </c>
      <c r="B195" t="s">
        <v>858</v>
      </c>
      <c r="C195" t="s">
        <v>54</v>
      </c>
      <c r="D195" t="s">
        <v>1</v>
      </c>
      <c r="E195" t="s">
        <v>115</v>
      </c>
      <c r="F195" t="s">
        <v>99</v>
      </c>
      <c r="G195" t="s">
        <v>100</v>
      </c>
      <c r="H195" t="s">
        <v>128</v>
      </c>
      <c r="I195" t="s">
        <v>100</v>
      </c>
      <c r="J195" t="s">
        <v>101</v>
      </c>
      <c r="K195" t="s">
        <v>559</v>
      </c>
      <c r="L195" t="s">
        <v>559</v>
      </c>
      <c r="M195" t="s">
        <v>100</v>
      </c>
      <c r="N195" t="s">
        <v>517</v>
      </c>
      <c r="O195" t="s">
        <v>100</v>
      </c>
      <c r="Q195" t="s">
        <v>517</v>
      </c>
      <c r="R195" t="s">
        <v>119</v>
      </c>
      <c r="S195" t="s">
        <v>130</v>
      </c>
      <c r="T195" t="s">
        <v>120</v>
      </c>
      <c r="U195" t="s">
        <v>101</v>
      </c>
      <c r="V195" t="s">
        <v>121</v>
      </c>
      <c r="W195" t="s">
        <v>122</v>
      </c>
      <c r="X195" t="s">
        <v>123</v>
      </c>
      <c r="Y195">
        <v>1</v>
      </c>
      <c r="Z195" t="s">
        <v>586</v>
      </c>
      <c r="AA195" s="280">
        <v>41533</v>
      </c>
      <c r="AB195" t="s">
        <v>114</v>
      </c>
      <c r="AC195" t="s">
        <v>124</v>
      </c>
      <c r="AD195" s="280">
        <v>44651</v>
      </c>
      <c r="AE195" t="s">
        <v>125</v>
      </c>
      <c r="AF195">
        <v>6</v>
      </c>
      <c r="AG195">
        <v>0</v>
      </c>
      <c r="AH195">
        <v>0</v>
      </c>
      <c r="AI195" t="s">
        <v>126</v>
      </c>
      <c r="AL195">
        <v>1</v>
      </c>
      <c r="AN195">
        <v>1</v>
      </c>
      <c r="AO195">
        <v>0</v>
      </c>
      <c r="AP195" t="s">
        <v>1050</v>
      </c>
      <c r="AR195" t="s">
        <v>127</v>
      </c>
      <c r="AS195">
        <v>3400</v>
      </c>
      <c r="AU195">
        <v>0</v>
      </c>
      <c r="AV195">
        <v>0</v>
      </c>
      <c r="AW195">
        <v>0</v>
      </c>
      <c r="AX195">
        <v>3400</v>
      </c>
      <c r="AY195">
        <v>188.88888888888869</v>
      </c>
      <c r="AZ195">
        <v>0</v>
      </c>
      <c r="BC195">
        <v>-3211.1111111111113</v>
      </c>
      <c r="BE195" t="s">
        <v>114</v>
      </c>
      <c r="BH195">
        <v>-188.88888888888869</v>
      </c>
      <c r="BI195">
        <v>-15.740740740740724</v>
      </c>
      <c r="BK195" t="s">
        <v>116</v>
      </c>
      <c r="BL195">
        <v>0</v>
      </c>
      <c r="BM195">
        <v>-3400</v>
      </c>
      <c r="BR195">
        <v>0</v>
      </c>
      <c r="BS195">
        <v>0</v>
      </c>
      <c r="BW195" t="s">
        <v>167</v>
      </c>
      <c r="BX195" t="s">
        <v>168</v>
      </c>
      <c r="BZ195" t="s">
        <v>943</v>
      </c>
    </row>
    <row r="196" spans="1:78">
      <c r="A196" t="s">
        <v>369</v>
      </c>
      <c r="B196" t="s">
        <v>909</v>
      </c>
      <c r="C196" t="s">
        <v>54</v>
      </c>
      <c r="D196" t="s">
        <v>1</v>
      </c>
      <c r="E196" t="s">
        <v>115</v>
      </c>
      <c r="F196" t="s">
        <v>99</v>
      </c>
      <c r="G196" t="s">
        <v>100</v>
      </c>
      <c r="H196" t="s">
        <v>128</v>
      </c>
      <c r="I196" t="s">
        <v>100</v>
      </c>
      <c r="J196" t="s">
        <v>101</v>
      </c>
      <c r="K196" t="s">
        <v>559</v>
      </c>
      <c r="L196" t="s">
        <v>559</v>
      </c>
      <c r="M196" t="s">
        <v>100</v>
      </c>
      <c r="N196" t="s">
        <v>509</v>
      </c>
      <c r="O196" t="s">
        <v>100</v>
      </c>
      <c r="Q196" t="s">
        <v>509</v>
      </c>
      <c r="R196" t="s">
        <v>119</v>
      </c>
      <c r="S196" t="s">
        <v>130</v>
      </c>
      <c r="T196" t="s">
        <v>120</v>
      </c>
      <c r="U196" t="s">
        <v>101</v>
      </c>
      <c r="V196" t="s">
        <v>121</v>
      </c>
      <c r="W196" t="s">
        <v>122</v>
      </c>
      <c r="X196" t="s">
        <v>123</v>
      </c>
      <c r="Y196">
        <v>1</v>
      </c>
      <c r="Z196" t="s">
        <v>586</v>
      </c>
      <c r="AA196" s="280">
        <v>41533</v>
      </c>
      <c r="AB196" t="s">
        <v>114</v>
      </c>
      <c r="AC196" t="s">
        <v>124</v>
      </c>
      <c r="AD196" s="280">
        <v>44651</v>
      </c>
      <c r="AE196" t="s">
        <v>125</v>
      </c>
      <c r="AF196">
        <v>6</v>
      </c>
      <c r="AG196">
        <v>0</v>
      </c>
      <c r="AH196">
        <v>0</v>
      </c>
      <c r="AI196" t="s">
        <v>126</v>
      </c>
      <c r="AL196">
        <v>1</v>
      </c>
      <c r="AN196">
        <v>1</v>
      </c>
      <c r="AO196">
        <v>0</v>
      </c>
      <c r="AP196" t="s">
        <v>1050</v>
      </c>
      <c r="AR196" t="s">
        <v>127</v>
      </c>
      <c r="AS196">
        <v>4250</v>
      </c>
      <c r="AU196">
        <v>0</v>
      </c>
      <c r="AV196">
        <v>0</v>
      </c>
      <c r="AW196">
        <v>0</v>
      </c>
      <c r="AX196">
        <v>4250</v>
      </c>
      <c r="AY196">
        <v>236.11111111111131</v>
      </c>
      <c r="AZ196">
        <v>0</v>
      </c>
      <c r="BC196">
        <v>-4013.8888888888887</v>
      </c>
      <c r="BE196" t="s">
        <v>114</v>
      </c>
      <c r="BH196">
        <v>-236.11111111111131</v>
      </c>
      <c r="BI196">
        <v>-19.675925925925942</v>
      </c>
      <c r="BK196" t="s">
        <v>116</v>
      </c>
      <c r="BL196">
        <v>0</v>
      </c>
      <c r="BM196">
        <v>-4250</v>
      </c>
      <c r="BR196">
        <v>0</v>
      </c>
      <c r="BS196">
        <v>0</v>
      </c>
      <c r="BW196" t="s">
        <v>167</v>
      </c>
      <c r="BX196" t="s">
        <v>168</v>
      </c>
      <c r="BZ196" t="s">
        <v>1007</v>
      </c>
    </row>
    <row r="197" spans="1:78">
      <c r="A197" t="s">
        <v>370</v>
      </c>
      <c r="B197" t="s">
        <v>877</v>
      </c>
      <c r="C197" t="s">
        <v>54</v>
      </c>
      <c r="D197" t="s">
        <v>1</v>
      </c>
      <c r="E197" t="s">
        <v>115</v>
      </c>
      <c r="F197" t="s">
        <v>99</v>
      </c>
      <c r="G197" t="s">
        <v>100</v>
      </c>
      <c r="H197" t="s">
        <v>128</v>
      </c>
      <c r="I197" t="s">
        <v>100</v>
      </c>
      <c r="J197" t="s">
        <v>101</v>
      </c>
      <c r="K197" t="s">
        <v>559</v>
      </c>
      <c r="L197" t="s">
        <v>559</v>
      </c>
      <c r="M197" t="s">
        <v>100</v>
      </c>
      <c r="N197" t="s">
        <v>509</v>
      </c>
      <c r="O197" t="s">
        <v>100</v>
      </c>
      <c r="Q197" t="s">
        <v>509</v>
      </c>
      <c r="R197" t="s">
        <v>119</v>
      </c>
      <c r="S197" t="s">
        <v>130</v>
      </c>
      <c r="T197" t="s">
        <v>120</v>
      </c>
      <c r="U197" t="s">
        <v>101</v>
      </c>
      <c r="V197" t="s">
        <v>121</v>
      </c>
      <c r="W197" t="s">
        <v>122</v>
      </c>
      <c r="X197" t="s">
        <v>123</v>
      </c>
      <c r="Y197">
        <v>1</v>
      </c>
      <c r="Z197" t="s">
        <v>586</v>
      </c>
      <c r="AA197" s="280">
        <v>41533</v>
      </c>
      <c r="AB197" t="s">
        <v>114</v>
      </c>
      <c r="AC197" t="s">
        <v>124</v>
      </c>
      <c r="AD197" s="280">
        <v>44651</v>
      </c>
      <c r="AE197" t="s">
        <v>125</v>
      </c>
      <c r="AF197">
        <v>6</v>
      </c>
      <c r="AG197">
        <v>0</v>
      </c>
      <c r="AH197">
        <v>0</v>
      </c>
      <c r="AI197" t="s">
        <v>126</v>
      </c>
      <c r="AL197">
        <v>1</v>
      </c>
      <c r="AN197">
        <v>1</v>
      </c>
      <c r="AO197">
        <v>0</v>
      </c>
      <c r="AP197" t="s">
        <v>1052</v>
      </c>
      <c r="AR197" t="s">
        <v>127</v>
      </c>
      <c r="AS197">
        <v>3850</v>
      </c>
      <c r="AU197">
        <v>0</v>
      </c>
      <c r="AV197">
        <v>0</v>
      </c>
      <c r="AW197">
        <v>0</v>
      </c>
      <c r="AX197">
        <v>3850</v>
      </c>
      <c r="AY197">
        <v>213.88888888888869</v>
      </c>
      <c r="AZ197">
        <v>0</v>
      </c>
      <c r="BC197">
        <v>-3636.1111111111113</v>
      </c>
      <c r="BE197" t="s">
        <v>114</v>
      </c>
      <c r="BH197">
        <v>-213.88888888888869</v>
      </c>
      <c r="BI197">
        <v>-17.824074074074058</v>
      </c>
      <c r="BK197" t="s">
        <v>116</v>
      </c>
      <c r="BL197">
        <v>0</v>
      </c>
      <c r="BM197">
        <v>-3850</v>
      </c>
      <c r="BR197">
        <v>0</v>
      </c>
      <c r="BS197">
        <v>0</v>
      </c>
      <c r="BW197" t="s">
        <v>167</v>
      </c>
      <c r="BX197" t="s">
        <v>168</v>
      </c>
      <c r="BZ197" t="s">
        <v>969</v>
      </c>
    </row>
    <row r="198" spans="1:78">
      <c r="A198" t="s">
        <v>371</v>
      </c>
      <c r="B198" t="s">
        <v>875</v>
      </c>
      <c r="C198" t="s">
        <v>54</v>
      </c>
      <c r="D198" t="s">
        <v>1</v>
      </c>
      <c r="E198" t="s">
        <v>115</v>
      </c>
      <c r="F198" t="s">
        <v>99</v>
      </c>
      <c r="G198" t="s">
        <v>100</v>
      </c>
      <c r="H198" t="s">
        <v>128</v>
      </c>
      <c r="I198" t="s">
        <v>100</v>
      </c>
      <c r="J198" t="s">
        <v>101</v>
      </c>
      <c r="K198" t="s">
        <v>559</v>
      </c>
      <c r="L198" t="s">
        <v>559</v>
      </c>
      <c r="M198" t="s">
        <v>100</v>
      </c>
      <c r="N198" t="s">
        <v>509</v>
      </c>
      <c r="O198" t="s">
        <v>100</v>
      </c>
      <c r="Q198" t="s">
        <v>509</v>
      </c>
      <c r="R198" t="s">
        <v>119</v>
      </c>
      <c r="S198" t="s">
        <v>130</v>
      </c>
      <c r="T198" t="s">
        <v>120</v>
      </c>
      <c r="U198" t="s">
        <v>101</v>
      </c>
      <c r="V198" t="s">
        <v>121</v>
      </c>
      <c r="W198" t="s">
        <v>122</v>
      </c>
      <c r="X198" t="s">
        <v>123</v>
      </c>
      <c r="Y198">
        <v>1</v>
      </c>
      <c r="Z198" t="s">
        <v>586</v>
      </c>
      <c r="AA198" s="280">
        <v>41533</v>
      </c>
      <c r="AB198" t="s">
        <v>114</v>
      </c>
      <c r="AC198" t="s">
        <v>124</v>
      </c>
      <c r="AD198" s="280">
        <v>44651</v>
      </c>
      <c r="AE198" t="s">
        <v>125</v>
      </c>
      <c r="AF198">
        <v>6</v>
      </c>
      <c r="AG198">
        <v>0</v>
      </c>
      <c r="AH198">
        <v>0</v>
      </c>
      <c r="AI198" t="s">
        <v>126</v>
      </c>
      <c r="AL198">
        <v>1</v>
      </c>
      <c r="AN198">
        <v>1</v>
      </c>
      <c r="AO198">
        <v>0</v>
      </c>
      <c r="AP198" t="s">
        <v>1051</v>
      </c>
      <c r="AR198" t="s">
        <v>127</v>
      </c>
      <c r="AS198">
        <v>4250</v>
      </c>
      <c r="AU198">
        <v>0</v>
      </c>
      <c r="AV198">
        <v>0</v>
      </c>
      <c r="AW198">
        <v>0</v>
      </c>
      <c r="AX198">
        <v>4250</v>
      </c>
      <c r="AY198">
        <v>236.11111111111131</v>
      </c>
      <c r="AZ198">
        <v>0</v>
      </c>
      <c r="BC198">
        <v>-4013.8888888888887</v>
      </c>
      <c r="BE198" t="s">
        <v>114</v>
      </c>
      <c r="BH198">
        <v>-236.11111111111131</v>
      </c>
      <c r="BI198">
        <v>-19.675925925925942</v>
      </c>
      <c r="BK198" t="s">
        <v>116</v>
      </c>
      <c r="BL198">
        <v>0</v>
      </c>
      <c r="BM198">
        <v>-4250</v>
      </c>
      <c r="BR198">
        <v>0</v>
      </c>
      <c r="BS198">
        <v>0</v>
      </c>
      <c r="BW198" t="s">
        <v>167</v>
      </c>
      <c r="BX198" t="s">
        <v>168</v>
      </c>
      <c r="BZ198" t="s">
        <v>1008</v>
      </c>
    </row>
    <row r="199" spans="1:78">
      <c r="A199" t="s">
        <v>372</v>
      </c>
      <c r="B199" t="s">
        <v>873</v>
      </c>
      <c r="C199" t="s">
        <v>54</v>
      </c>
      <c r="D199" t="s">
        <v>1</v>
      </c>
      <c r="E199" t="s">
        <v>115</v>
      </c>
      <c r="F199" t="s">
        <v>99</v>
      </c>
      <c r="G199" t="s">
        <v>100</v>
      </c>
      <c r="H199" t="s">
        <v>128</v>
      </c>
      <c r="I199" t="s">
        <v>100</v>
      </c>
      <c r="J199" t="s">
        <v>101</v>
      </c>
      <c r="K199" t="s">
        <v>559</v>
      </c>
      <c r="L199" t="s">
        <v>559</v>
      </c>
      <c r="M199" t="s">
        <v>100</v>
      </c>
      <c r="N199" t="s">
        <v>510</v>
      </c>
      <c r="O199" t="s">
        <v>100</v>
      </c>
      <c r="Q199" t="s">
        <v>510</v>
      </c>
      <c r="R199" t="s">
        <v>119</v>
      </c>
      <c r="S199" t="s">
        <v>130</v>
      </c>
      <c r="T199" t="s">
        <v>120</v>
      </c>
      <c r="U199" t="s">
        <v>101</v>
      </c>
      <c r="V199" t="s">
        <v>121</v>
      </c>
      <c r="W199" t="s">
        <v>122</v>
      </c>
      <c r="X199" t="s">
        <v>123</v>
      </c>
      <c r="Y199">
        <v>1</v>
      </c>
      <c r="Z199" t="s">
        <v>588</v>
      </c>
      <c r="AA199" s="280">
        <v>41334</v>
      </c>
      <c r="AB199" t="s">
        <v>114</v>
      </c>
      <c r="AC199" t="s">
        <v>124</v>
      </c>
      <c r="AD199" s="280">
        <v>44651</v>
      </c>
      <c r="AE199" t="s">
        <v>125</v>
      </c>
      <c r="AF199">
        <v>6</v>
      </c>
      <c r="AG199">
        <v>0</v>
      </c>
      <c r="AH199">
        <v>0</v>
      </c>
      <c r="AI199" t="s">
        <v>126</v>
      </c>
      <c r="AL199">
        <v>1</v>
      </c>
      <c r="AN199">
        <v>1</v>
      </c>
      <c r="AO199">
        <v>0</v>
      </c>
      <c r="AP199" t="s">
        <v>1050</v>
      </c>
      <c r="AR199" t="s">
        <v>127</v>
      </c>
      <c r="AS199">
        <v>2593.5</v>
      </c>
      <c r="AU199">
        <v>0</v>
      </c>
      <c r="AV199">
        <v>0</v>
      </c>
      <c r="AW199">
        <v>0</v>
      </c>
      <c r="AX199">
        <v>2593.5</v>
      </c>
      <c r="AY199">
        <v>144.08333333333303</v>
      </c>
      <c r="AZ199">
        <v>0</v>
      </c>
      <c r="BC199">
        <v>-2449.416666666667</v>
      </c>
      <c r="BE199" t="s">
        <v>114</v>
      </c>
      <c r="BH199">
        <v>-144.08333333333303</v>
      </c>
      <c r="BI199">
        <v>-12.00694444444442</v>
      </c>
      <c r="BK199" t="s">
        <v>116</v>
      </c>
      <c r="BL199">
        <v>0</v>
      </c>
      <c r="BM199">
        <v>-2593.5</v>
      </c>
      <c r="BR199">
        <v>0</v>
      </c>
      <c r="BS199">
        <v>0</v>
      </c>
      <c r="BW199" t="s">
        <v>167</v>
      </c>
      <c r="BX199" t="s">
        <v>168</v>
      </c>
      <c r="BZ199" t="s">
        <v>1009</v>
      </c>
    </row>
    <row r="200" spans="1:78">
      <c r="A200" t="s">
        <v>373</v>
      </c>
      <c r="B200" t="s">
        <v>868</v>
      </c>
      <c r="C200" t="s">
        <v>54</v>
      </c>
      <c r="D200" t="s">
        <v>1</v>
      </c>
      <c r="E200" t="s">
        <v>115</v>
      </c>
      <c r="F200" t="s">
        <v>99</v>
      </c>
      <c r="G200" t="s">
        <v>100</v>
      </c>
      <c r="H200" t="s">
        <v>128</v>
      </c>
      <c r="I200" t="s">
        <v>100</v>
      </c>
      <c r="J200" t="s">
        <v>101</v>
      </c>
      <c r="K200" t="s">
        <v>559</v>
      </c>
      <c r="L200" t="s">
        <v>559</v>
      </c>
      <c r="M200" t="s">
        <v>100</v>
      </c>
      <c r="N200" t="s">
        <v>518</v>
      </c>
      <c r="O200" t="s">
        <v>100</v>
      </c>
      <c r="Q200" t="s">
        <v>518</v>
      </c>
      <c r="R200" t="s">
        <v>119</v>
      </c>
      <c r="S200" t="s">
        <v>130</v>
      </c>
      <c r="T200" t="s">
        <v>120</v>
      </c>
      <c r="U200" t="s">
        <v>101</v>
      </c>
      <c r="V200" t="s">
        <v>121</v>
      </c>
      <c r="W200" t="s">
        <v>122</v>
      </c>
      <c r="X200" t="s">
        <v>123</v>
      </c>
      <c r="Y200">
        <v>1</v>
      </c>
      <c r="Z200" t="s">
        <v>589</v>
      </c>
      <c r="AA200" s="280">
        <v>41355</v>
      </c>
      <c r="AB200" t="s">
        <v>114</v>
      </c>
      <c r="AC200" t="s">
        <v>124</v>
      </c>
      <c r="AD200" s="280">
        <v>44651</v>
      </c>
      <c r="AE200" t="s">
        <v>125</v>
      </c>
      <c r="AF200">
        <v>6</v>
      </c>
      <c r="AG200">
        <v>0</v>
      </c>
      <c r="AH200">
        <v>0</v>
      </c>
      <c r="AI200" t="s">
        <v>126</v>
      </c>
      <c r="AL200">
        <v>1</v>
      </c>
      <c r="AN200">
        <v>1</v>
      </c>
      <c r="AO200">
        <v>0</v>
      </c>
      <c r="AP200" t="s">
        <v>1050</v>
      </c>
      <c r="AR200" t="s">
        <v>127</v>
      </c>
      <c r="AS200">
        <v>3112.2</v>
      </c>
      <c r="AU200">
        <v>0</v>
      </c>
      <c r="AV200">
        <v>0</v>
      </c>
      <c r="AW200">
        <v>0</v>
      </c>
      <c r="AX200">
        <v>3112.2</v>
      </c>
      <c r="AY200">
        <v>172.89999999999964</v>
      </c>
      <c r="AZ200">
        <v>0</v>
      </c>
      <c r="BC200">
        <v>-2939.3</v>
      </c>
      <c r="BE200" t="s">
        <v>114</v>
      </c>
      <c r="BH200">
        <v>-172.89999999999964</v>
      </c>
      <c r="BI200">
        <v>-14.408333333333303</v>
      </c>
      <c r="BK200" t="s">
        <v>116</v>
      </c>
      <c r="BL200">
        <v>0</v>
      </c>
      <c r="BM200">
        <v>-3112.2</v>
      </c>
      <c r="BR200">
        <v>0</v>
      </c>
      <c r="BS200">
        <v>0</v>
      </c>
      <c r="BW200" t="s">
        <v>167</v>
      </c>
      <c r="BX200" t="s">
        <v>168</v>
      </c>
      <c r="BZ200" t="s">
        <v>1006</v>
      </c>
    </row>
    <row r="201" spans="1:78">
      <c r="A201" t="s">
        <v>374</v>
      </c>
      <c r="B201" t="s">
        <v>877</v>
      </c>
      <c r="C201" t="s">
        <v>54</v>
      </c>
      <c r="D201" t="s">
        <v>1</v>
      </c>
      <c r="E201" t="s">
        <v>115</v>
      </c>
      <c r="F201" t="s">
        <v>99</v>
      </c>
      <c r="G201" t="s">
        <v>100</v>
      </c>
      <c r="H201" t="s">
        <v>128</v>
      </c>
      <c r="I201" t="s">
        <v>100</v>
      </c>
      <c r="J201" t="s">
        <v>101</v>
      </c>
      <c r="K201" t="s">
        <v>559</v>
      </c>
      <c r="L201" t="s">
        <v>559</v>
      </c>
      <c r="M201" t="s">
        <v>100</v>
      </c>
      <c r="N201" t="s">
        <v>519</v>
      </c>
      <c r="O201" t="s">
        <v>100</v>
      </c>
      <c r="Q201" t="s">
        <v>519</v>
      </c>
      <c r="R201" t="s">
        <v>119</v>
      </c>
      <c r="S201" t="s">
        <v>130</v>
      </c>
      <c r="T201" t="s">
        <v>120</v>
      </c>
      <c r="U201" t="s">
        <v>101</v>
      </c>
      <c r="V201" t="s">
        <v>121</v>
      </c>
      <c r="W201" t="s">
        <v>122</v>
      </c>
      <c r="X201" t="s">
        <v>123</v>
      </c>
      <c r="Y201">
        <v>1</v>
      </c>
      <c r="Z201" t="s">
        <v>590</v>
      </c>
      <c r="AA201" s="280">
        <v>41326</v>
      </c>
      <c r="AB201" t="s">
        <v>114</v>
      </c>
      <c r="AC201" t="s">
        <v>124</v>
      </c>
      <c r="AD201" s="280">
        <v>44651</v>
      </c>
      <c r="AE201" t="s">
        <v>125</v>
      </c>
      <c r="AF201">
        <v>6</v>
      </c>
      <c r="AG201">
        <v>0</v>
      </c>
      <c r="AH201">
        <v>0</v>
      </c>
      <c r="AI201" t="s">
        <v>126</v>
      </c>
      <c r="AL201">
        <v>1</v>
      </c>
      <c r="AN201">
        <v>1</v>
      </c>
      <c r="AO201">
        <v>0</v>
      </c>
      <c r="AP201" t="s">
        <v>1052</v>
      </c>
      <c r="AR201" t="s">
        <v>127</v>
      </c>
      <c r="AS201">
        <v>3122.2</v>
      </c>
      <c r="AU201">
        <v>0</v>
      </c>
      <c r="AV201">
        <v>0</v>
      </c>
      <c r="AW201">
        <v>0</v>
      </c>
      <c r="AX201">
        <v>3122.2</v>
      </c>
      <c r="AY201">
        <v>173.45555555555529</v>
      </c>
      <c r="AZ201">
        <v>0</v>
      </c>
      <c r="BC201">
        <v>-2948.7444444444445</v>
      </c>
      <c r="BE201" t="s">
        <v>114</v>
      </c>
      <c r="BH201">
        <v>-173.45555555555529</v>
      </c>
      <c r="BI201">
        <v>-14.454629629629608</v>
      </c>
      <c r="BK201" t="s">
        <v>116</v>
      </c>
      <c r="BL201">
        <v>0</v>
      </c>
      <c r="BM201">
        <v>-3122.2</v>
      </c>
      <c r="BR201">
        <v>0</v>
      </c>
      <c r="BS201">
        <v>0</v>
      </c>
      <c r="BW201" t="s">
        <v>167</v>
      </c>
      <c r="BX201" t="s">
        <v>168</v>
      </c>
      <c r="BZ201" t="s">
        <v>1010</v>
      </c>
    </row>
    <row r="202" spans="1:78">
      <c r="A202" t="s">
        <v>375</v>
      </c>
      <c r="B202" t="s">
        <v>868</v>
      </c>
      <c r="C202" t="s">
        <v>54</v>
      </c>
      <c r="D202" t="s">
        <v>1</v>
      </c>
      <c r="E202" t="s">
        <v>115</v>
      </c>
      <c r="F202" t="s">
        <v>99</v>
      </c>
      <c r="G202" t="s">
        <v>100</v>
      </c>
      <c r="H202" t="s">
        <v>128</v>
      </c>
      <c r="I202" t="s">
        <v>100</v>
      </c>
      <c r="J202" t="s">
        <v>101</v>
      </c>
      <c r="K202" t="s">
        <v>559</v>
      </c>
      <c r="L202" t="s">
        <v>559</v>
      </c>
      <c r="M202" t="s">
        <v>100</v>
      </c>
      <c r="N202" t="s">
        <v>520</v>
      </c>
      <c r="O202" t="s">
        <v>100</v>
      </c>
      <c r="Q202" t="s">
        <v>520</v>
      </c>
      <c r="R202" t="s">
        <v>119</v>
      </c>
      <c r="S202" t="s">
        <v>130</v>
      </c>
      <c r="T202" t="s">
        <v>120</v>
      </c>
      <c r="U202" t="s">
        <v>101</v>
      </c>
      <c r="V202" t="s">
        <v>121</v>
      </c>
      <c r="W202" t="s">
        <v>122</v>
      </c>
      <c r="X202" t="s">
        <v>123</v>
      </c>
      <c r="Y202">
        <v>1</v>
      </c>
      <c r="Z202" t="s">
        <v>590</v>
      </c>
      <c r="AA202" s="280">
        <v>41326</v>
      </c>
      <c r="AB202" t="s">
        <v>114</v>
      </c>
      <c r="AC202" t="s">
        <v>124</v>
      </c>
      <c r="AD202" s="280">
        <v>44651</v>
      </c>
      <c r="AE202" t="s">
        <v>125</v>
      </c>
      <c r="AF202">
        <v>6</v>
      </c>
      <c r="AG202">
        <v>0</v>
      </c>
      <c r="AH202">
        <v>0</v>
      </c>
      <c r="AI202" t="s">
        <v>126</v>
      </c>
      <c r="AL202">
        <v>1</v>
      </c>
      <c r="AN202">
        <v>1</v>
      </c>
      <c r="AO202">
        <v>0</v>
      </c>
      <c r="AP202" t="s">
        <v>1050</v>
      </c>
      <c r="AR202" t="s">
        <v>127</v>
      </c>
      <c r="AS202">
        <v>5187</v>
      </c>
      <c r="AU202">
        <v>0</v>
      </c>
      <c r="AV202">
        <v>0</v>
      </c>
      <c r="AW202">
        <v>0</v>
      </c>
      <c r="AX202">
        <v>5187</v>
      </c>
      <c r="AY202">
        <v>288.16666666666606</v>
      </c>
      <c r="AZ202">
        <v>0</v>
      </c>
      <c r="BC202">
        <v>-4898.8333333333339</v>
      </c>
      <c r="BE202" t="s">
        <v>114</v>
      </c>
      <c r="BH202">
        <v>-288.16666666666606</v>
      </c>
      <c r="BI202">
        <v>-24.01388888888884</v>
      </c>
      <c r="BK202" t="s">
        <v>116</v>
      </c>
      <c r="BL202">
        <v>0</v>
      </c>
      <c r="BM202">
        <v>-5187</v>
      </c>
      <c r="BR202">
        <v>0</v>
      </c>
      <c r="BS202">
        <v>0</v>
      </c>
      <c r="BW202" t="s">
        <v>167</v>
      </c>
      <c r="BX202" t="s">
        <v>168</v>
      </c>
      <c r="BZ202" t="s">
        <v>1011</v>
      </c>
    </row>
    <row r="203" spans="1:78">
      <c r="A203" t="s">
        <v>376</v>
      </c>
      <c r="B203" t="s">
        <v>884</v>
      </c>
      <c r="C203" t="s">
        <v>54</v>
      </c>
      <c r="D203" t="s">
        <v>1</v>
      </c>
      <c r="E203" t="s">
        <v>115</v>
      </c>
      <c r="F203" t="s">
        <v>99</v>
      </c>
      <c r="G203" t="s">
        <v>100</v>
      </c>
      <c r="H203" t="s">
        <v>128</v>
      </c>
      <c r="I203" t="s">
        <v>100</v>
      </c>
      <c r="J203" t="s">
        <v>101</v>
      </c>
      <c r="K203" t="s">
        <v>559</v>
      </c>
      <c r="L203" t="s">
        <v>559</v>
      </c>
      <c r="M203" t="s">
        <v>100</v>
      </c>
      <c r="N203" t="s">
        <v>521</v>
      </c>
      <c r="O203" t="s">
        <v>100</v>
      </c>
      <c r="Q203" t="s">
        <v>521</v>
      </c>
      <c r="R203" t="s">
        <v>119</v>
      </c>
      <c r="S203" t="s">
        <v>130</v>
      </c>
      <c r="T203" t="s">
        <v>120</v>
      </c>
      <c r="U203" t="s">
        <v>101</v>
      </c>
      <c r="V203" t="s">
        <v>121</v>
      </c>
      <c r="W203" t="s">
        <v>122</v>
      </c>
      <c r="X203" t="s">
        <v>123</v>
      </c>
      <c r="Y203">
        <v>1</v>
      </c>
      <c r="Z203" t="s">
        <v>586</v>
      </c>
      <c r="AA203" s="280">
        <v>41533</v>
      </c>
      <c r="AB203" t="s">
        <v>114</v>
      </c>
      <c r="AC203" t="s">
        <v>124</v>
      </c>
      <c r="AD203" s="280">
        <v>44651</v>
      </c>
      <c r="AE203" t="s">
        <v>125</v>
      </c>
      <c r="AF203">
        <v>6</v>
      </c>
      <c r="AG203">
        <v>0</v>
      </c>
      <c r="AH203">
        <v>0</v>
      </c>
      <c r="AI203" t="s">
        <v>126</v>
      </c>
      <c r="AL203">
        <v>1</v>
      </c>
      <c r="AN203">
        <v>1</v>
      </c>
      <c r="AO203">
        <v>0</v>
      </c>
      <c r="AP203" t="s">
        <v>1050</v>
      </c>
      <c r="AR203" t="s">
        <v>127</v>
      </c>
      <c r="AS203">
        <v>1600</v>
      </c>
      <c r="AU203">
        <v>0</v>
      </c>
      <c r="AV203">
        <v>0</v>
      </c>
      <c r="AW203">
        <v>0</v>
      </c>
      <c r="AX203">
        <v>1600</v>
      </c>
      <c r="AY203">
        <v>88.888888888888687</v>
      </c>
      <c r="AZ203">
        <v>0</v>
      </c>
      <c r="BC203">
        <v>-1511.1111111111113</v>
      </c>
      <c r="BE203" t="s">
        <v>114</v>
      </c>
      <c r="BH203">
        <v>-88.888888888888687</v>
      </c>
      <c r="BI203">
        <v>-7.4074074074073906</v>
      </c>
      <c r="BK203" t="s">
        <v>116</v>
      </c>
      <c r="BL203">
        <v>0</v>
      </c>
      <c r="BM203">
        <v>-1600</v>
      </c>
      <c r="BR203">
        <v>0</v>
      </c>
      <c r="BS203">
        <v>0</v>
      </c>
      <c r="BW203" t="s">
        <v>167</v>
      </c>
      <c r="BX203" t="s">
        <v>168</v>
      </c>
      <c r="BZ203" t="s">
        <v>973</v>
      </c>
    </row>
    <row r="204" spans="1:78">
      <c r="A204" t="s">
        <v>377</v>
      </c>
      <c r="B204" t="s">
        <v>877</v>
      </c>
      <c r="C204" t="s">
        <v>54</v>
      </c>
      <c r="D204" t="s">
        <v>1</v>
      </c>
      <c r="E204" t="s">
        <v>115</v>
      </c>
      <c r="F204" t="s">
        <v>99</v>
      </c>
      <c r="G204" t="s">
        <v>100</v>
      </c>
      <c r="H204" t="s">
        <v>128</v>
      </c>
      <c r="I204" t="s">
        <v>100</v>
      </c>
      <c r="J204" t="s">
        <v>101</v>
      </c>
      <c r="K204" t="s">
        <v>559</v>
      </c>
      <c r="L204" t="s">
        <v>559</v>
      </c>
      <c r="M204" t="s">
        <v>100</v>
      </c>
      <c r="N204" t="s">
        <v>522</v>
      </c>
      <c r="O204" t="s">
        <v>100</v>
      </c>
      <c r="Q204" t="s">
        <v>522</v>
      </c>
      <c r="R204" t="s">
        <v>119</v>
      </c>
      <c r="S204" t="s">
        <v>130</v>
      </c>
      <c r="T204" t="s">
        <v>120</v>
      </c>
      <c r="U204" t="s">
        <v>101</v>
      </c>
      <c r="V204" t="s">
        <v>121</v>
      </c>
      <c r="W204" t="s">
        <v>122</v>
      </c>
      <c r="X204" t="s">
        <v>123</v>
      </c>
      <c r="Y204">
        <v>1</v>
      </c>
      <c r="Z204" t="s">
        <v>591</v>
      </c>
      <c r="AA204" s="280">
        <v>38174</v>
      </c>
      <c r="AB204" t="s">
        <v>114</v>
      </c>
      <c r="AC204" t="s">
        <v>124</v>
      </c>
      <c r="AD204" s="280">
        <v>44651</v>
      </c>
      <c r="AE204" t="s">
        <v>125</v>
      </c>
      <c r="AF204">
        <v>6</v>
      </c>
      <c r="AG204">
        <v>0</v>
      </c>
      <c r="AH204">
        <v>0</v>
      </c>
      <c r="AI204" t="s">
        <v>126</v>
      </c>
      <c r="AL204">
        <v>1</v>
      </c>
      <c r="AN204">
        <v>1</v>
      </c>
      <c r="AO204">
        <v>0</v>
      </c>
      <c r="AP204" t="s">
        <v>1052</v>
      </c>
      <c r="AR204" t="s">
        <v>127</v>
      </c>
      <c r="AS204">
        <v>1516.2</v>
      </c>
      <c r="AU204">
        <v>0</v>
      </c>
      <c r="AV204">
        <v>0</v>
      </c>
      <c r="AW204">
        <v>0</v>
      </c>
      <c r="AX204">
        <v>1516.2</v>
      </c>
      <c r="AY204">
        <v>84.233333333333348</v>
      </c>
      <c r="AZ204">
        <v>0</v>
      </c>
      <c r="BC204">
        <v>-1431.9666666666667</v>
      </c>
      <c r="BE204" t="s">
        <v>114</v>
      </c>
      <c r="BH204">
        <v>-84.233333333333348</v>
      </c>
      <c r="BI204">
        <v>-7.0194444444444457</v>
      </c>
      <c r="BK204" t="s">
        <v>116</v>
      </c>
      <c r="BL204">
        <v>0</v>
      </c>
      <c r="BM204">
        <v>-1516.2</v>
      </c>
      <c r="BR204">
        <v>0</v>
      </c>
      <c r="BS204">
        <v>0</v>
      </c>
      <c r="BW204" t="s">
        <v>167</v>
      </c>
      <c r="BX204" t="s">
        <v>168</v>
      </c>
      <c r="BZ204" t="s">
        <v>938</v>
      </c>
    </row>
    <row r="205" spans="1:78">
      <c r="A205" t="s">
        <v>378</v>
      </c>
      <c r="B205" t="s">
        <v>860</v>
      </c>
      <c r="C205" t="s">
        <v>54</v>
      </c>
      <c r="D205" t="s">
        <v>1</v>
      </c>
      <c r="E205" t="s">
        <v>115</v>
      </c>
      <c r="F205" t="s">
        <v>99</v>
      </c>
      <c r="G205" t="s">
        <v>100</v>
      </c>
      <c r="H205" t="s">
        <v>128</v>
      </c>
      <c r="I205" t="s">
        <v>100</v>
      </c>
      <c r="J205" t="s">
        <v>101</v>
      </c>
      <c r="K205" t="s">
        <v>559</v>
      </c>
      <c r="L205" t="s">
        <v>559</v>
      </c>
      <c r="M205" t="s">
        <v>100</v>
      </c>
      <c r="N205" t="s">
        <v>522</v>
      </c>
      <c r="O205" t="s">
        <v>100</v>
      </c>
      <c r="Q205" t="s">
        <v>522</v>
      </c>
      <c r="R205" t="s">
        <v>119</v>
      </c>
      <c r="S205" t="s">
        <v>130</v>
      </c>
      <c r="T205" t="s">
        <v>120</v>
      </c>
      <c r="U205" t="s">
        <v>101</v>
      </c>
      <c r="V205" t="s">
        <v>121</v>
      </c>
      <c r="W205" t="s">
        <v>122</v>
      </c>
      <c r="X205" t="s">
        <v>123</v>
      </c>
      <c r="Y205">
        <v>1</v>
      </c>
      <c r="Z205" t="s">
        <v>591</v>
      </c>
      <c r="AA205" s="280">
        <v>38174</v>
      </c>
      <c r="AB205" t="s">
        <v>114</v>
      </c>
      <c r="AC205" t="s">
        <v>124</v>
      </c>
      <c r="AD205" s="280">
        <v>44651</v>
      </c>
      <c r="AE205" t="s">
        <v>125</v>
      </c>
      <c r="AF205">
        <v>6</v>
      </c>
      <c r="AG205">
        <v>0</v>
      </c>
      <c r="AH205">
        <v>0</v>
      </c>
      <c r="AI205" t="s">
        <v>126</v>
      </c>
      <c r="AL205">
        <v>1</v>
      </c>
      <c r="AN205">
        <v>1</v>
      </c>
      <c r="AO205">
        <v>0</v>
      </c>
      <c r="AP205" t="s">
        <v>1050</v>
      </c>
      <c r="AR205" t="s">
        <v>127</v>
      </c>
      <c r="AS205">
        <v>1516.2</v>
      </c>
      <c r="AU205">
        <v>0</v>
      </c>
      <c r="AV205">
        <v>0</v>
      </c>
      <c r="AW205">
        <v>0</v>
      </c>
      <c r="AX205">
        <v>1516.2</v>
      </c>
      <c r="AY205">
        <v>84.233333333333348</v>
      </c>
      <c r="AZ205">
        <v>0</v>
      </c>
      <c r="BC205">
        <v>-1431.9666666666667</v>
      </c>
      <c r="BE205" t="s">
        <v>114</v>
      </c>
      <c r="BH205">
        <v>-84.233333333333348</v>
      </c>
      <c r="BI205">
        <v>-7.0194444444444457</v>
      </c>
      <c r="BK205" t="s">
        <v>116</v>
      </c>
      <c r="BL205">
        <v>0</v>
      </c>
      <c r="BM205">
        <v>-1516.2</v>
      </c>
      <c r="BR205">
        <v>0</v>
      </c>
      <c r="BS205">
        <v>0</v>
      </c>
      <c r="BW205" t="s">
        <v>167</v>
      </c>
      <c r="BX205" t="s">
        <v>168</v>
      </c>
      <c r="BZ205" t="s">
        <v>945</v>
      </c>
    </row>
    <row r="206" spans="1:78">
      <c r="A206" t="s">
        <v>379</v>
      </c>
      <c r="B206" t="s">
        <v>910</v>
      </c>
      <c r="C206" t="s">
        <v>54</v>
      </c>
      <c r="D206" t="s">
        <v>1</v>
      </c>
      <c r="E206" t="s">
        <v>115</v>
      </c>
      <c r="F206" t="s">
        <v>99</v>
      </c>
      <c r="G206" t="s">
        <v>100</v>
      </c>
      <c r="H206" t="s">
        <v>128</v>
      </c>
      <c r="I206" t="s">
        <v>100</v>
      </c>
      <c r="J206" t="s">
        <v>101</v>
      </c>
      <c r="K206" t="s">
        <v>559</v>
      </c>
      <c r="L206" t="s">
        <v>559</v>
      </c>
      <c r="M206" t="s">
        <v>100</v>
      </c>
      <c r="N206" t="s">
        <v>522</v>
      </c>
      <c r="O206" t="s">
        <v>100</v>
      </c>
      <c r="Q206" t="s">
        <v>522</v>
      </c>
      <c r="R206" t="s">
        <v>119</v>
      </c>
      <c r="S206" t="s">
        <v>130</v>
      </c>
      <c r="T206" t="s">
        <v>120</v>
      </c>
      <c r="U206" t="s">
        <v>101</v>
      </c>
      <c r="V206" t="s">
        <v>121</v>
      </c>
      <c r="W206" t="s">
        <v>122</v>
      </c>
      <c r="X206" t="s">
        <v>123</v>
      </c>
      <c r="Y206">
        <v>1</v>
      </c>
      <c r="Z206" t="s">
        <v>591</v>
      </c>
      <c r="AA206" s="280">
        <v>38174</v>
      </c>
      <c r="AB206" t="s">
        <v>114</v>
      </c>
      <c r="AC206" t="s">
        <v>124</v>
      </c>
      <c r="AD206" s="280">
        <v>44651</v>
      </c>
      <c r="AE206" t="s">
        <v>125</v>
      </c>
      <c r="AF206">
        <v>6</v>
      </c>
      <c r="AG206">
        <v>0</v>
      </c>
      <c r="AH206">
        <v>0</v>
      </c>
      <c r="AI206" t="s">
        <v>126</v>
      </c>
      <c r="AL206">
        <v>1</v>
      </c>
      <c r="AN206">
        <v>1</v>
      </c>
      <c r="AO206">
        <v>0</v>
      </c>
      <c r="AP206" t="s">
        <v>1050</v>
      </c>
      <c r="AR206" t="s">
        <v>127</v>
      </c>
      <c r="AS206">
        <v>1516.2</v>
      </c>
      <c r="AU206">
        <v>0</v>
      </c>
      <c r="AV206">
        <v>0</v>
      </c>
      <c r="AW206">
        <v>0</v>
      </c>
      <c r="AX206">
        <v>1516.2</v>
      </c>
      <c r="AY206">
        <v>84.233333333333348</v>
      </c>
      <c r="AZ206">
        <v>0</v>
      </c>
      <c r="BC206">
        <v>-1431.9666666666667</v>
      </c>
      <c r="BE206" t="s">
        <v>114</v>
      </c>
      <c r="BH206">
        <v>-84.233333333333348</v>
      </c>
      <c r="BI206">
        <v>-7.0194444444444457</v>
      </c>
      <c r="BK206" t="s">
        <v>116</v>
      </c>
      <c r="BL206">
        <v>0</v>
      </c>
      <c r="BM206">
        <v>-1516.2</v>
      </c>
      <c r="BR206">
        <v>0</v>
      </c>
      <c r="BS206">
        <v>0</v>
      </c>
      <c r="BW206" t="s">
        <v>167</v>
      </c>
      <c r="BX206" t="s">
        <v>168</v>
      </c>
      <c r="BZ206" t="s">
        <v>953</v>
      </c>
    </row>
    <row r="207" spans="1:78">
      <c r="A207" t="s">
        <v>380</v>
      </c>
      <c r="B207" t="s">
        <v>896</v>
      </c>
      <c r="C207" t="s">
        <v>54</v>
      </c>
      <c r="D207" t="s">
        <v>1</v>
      </c>
      <c r="E207" t="s">
        <v>115</v>
      </c>
      <c r="F207" t="s">
        <v>99</v>
      </c>
      <c r="G207" t="s">
        <v>100</v>
      </c>
      <c r="H207" t="s">
        <v>128</v>
      </c>
      <c r="I207" t="s">
        <v>100</v>
      </c>
      <c r="J207" t="s">
        <v>101</v>
      </c>
      <c r="K207" t="s">
        <v>559</v>
      </c>
      <c r="L207" t="s">
        <v>559</v>
      </c>
      <c r="M207" t="s">
        <v>100</v>
      </c>
      <c r="N207" t="s">
        <v>522</v>
      </c>
      <c r="O207" t="s">
        <v>100</v>
      </c>
      <c r="Q207" t="s">
        <v>522</v>
      </c>
      <c r="R207" t="s">
        <v>119</v>
      </c>
      <c r="S207" t="s">
        <v>130</v>
      </c>
      <c r="T207" t="s">
        <v>120</v>
      </c>
      <c r="U207" t="s">
        <v>101</v>
      </c>
      <c r="V207" t="s">
        <v>121</v>
      </c>
      <c r="W207" t="s">
        <v>122</v>
      </c>
      <c r="X207" t="s">
        <v>123</v>
      </c>
      <c r="Y207">
        <v>1</v>
      </c>
      <c r="Z207" t="s">
        <v>591</v>
      </c>
      <c r="AA207" s="280">
        <v>38174</v>
      </c>
      <c r="AB207" t="s">
        <v>114</v>
      </c>
      <c r="AC207" t="s">
        <v>124</v>
      </c>
      <c r="AD207" s="280">
        <v>44651</v>
      </c>
      <c r="AE207" t="s">
        <v>125</v>
      </c>
      <c r="AF207">
        <v>6</v>
      </c>
      <c r="AG207">
        <v>0</v>
      </c>
      <c r="AH207">
        <v>0</v>
      </c>
      <c r="AI207" t="s">
        <v>126</v>
      </c>
      <c r="AL207">
        <v>1</v>
      </c>
      <c r="AN207">
        <v>1</v>
      </c>
      <c r="AO207">
        <v>0</v>
      </c>
      <c r="AP207" t="s">
        <v>1050</v>
      </c>
      <c r="AR207" t="s">
        <v>127</v>
      </c>
      <c r="AS207">
        <v>1516.2</v>
      </c>
      <c r="AU207">
        <v>0</v>
      </c>
      <c r="AV207">
        <v>0</v>
      </c>
      <c r="AW207">
        <v>0</v>
      </c>
      <c r="AX207">
        <v>1516.2</v>
      </c>
      <c r="AY207">
        <v>84.233333333333348</v>
      </c>
      <c r="AZ207">
        <v>0</v>
      </c>
      <c r="BC207">
        <v>-1431.9666666666667</v>
      </c>
      <c r="BE207" t="s">
        <v>114</v>
      </c>
      <c r="BH207">
        <v>-84.233333333333348</v>
      </c>
      <c r="BI207">
        <v>-7.0194444444444457</v>
      </c>
      <c r="BK207" t="s">
        <v>116</v>
      </c>
      <c r="BL207">
        <v>0</v>
      </c>
      <c r="BM207">
        <v>-1516.2</v>
      </c>
      <c r="BR207">
        <v>0</v>
      </c>
      <c r="BS207">
        <v>0</v>
      </c>
      <c r="BW207" t="s">
        <v>167</v>
      </c>
      <c r="BX207" t="s">
        <v>168</v>
      </c>
      <c r="BZ207" t="s">
        <v>948</v>
      </c>
    </row>
    <row r="208" spans="1:78">
      <c r="A208" t="s">
        <v>381</v>
      </c>
      <c r="B208" t="s">
        <v>889</v>
      </c>
      <c r="C208" t="s">
        <v>54</v>
      </c>
      <c r="D208" t="s">
        <v>1</v>
      </c>
      <c r="E208" t="s">
        <v>115</v>
      </c>
      <c r="F208" t="s">
        <v>99</v>
      </c>
      <c r="G208" t="s">
        <v>100</v>
      </c>
      <c r="H208" t="s">
        <v>128</v>
      </c>
      <c r="I208" t="s">
        <v>100</v>
      </c>
      <c r="J208" t="s">
        <v>101</v>
      </c>
      <c r="K208" t="s">
        <v>559</v>
      </c>
      <c r="L208" t="s">
        <v>559</v>
      </c>
      <c r="M208" t="s">
        <v>100</v>
      </c>
      <c r="N208" t="s">
        <v>467</v>
      </c>
      <c r="O208" t="s">
        <v>100</v>
      </c>
      <c r="Q208" t="s">
        <v>467</v>
      </c>
      <c r="R208" t="s">
        <v>119</v>
      </c>
      <c r="S208" t="s">
        <v>130</v>
      </c>
      <c r="T208" t="s">
        <v>120</v>
      </c>
      <c r="U208" t="s">
        <v>101</v>
      </c>
      <c r="V208" t="s">
        <v>121</v>
      </c>
      <c r="W208" t="s">
        <v>122</v>
      </c>
      <c r="X208" t="s">
        <v>123</v>
      </c>
      <c r="Y208">
        <v>1</v>
      </c>
      <c r="Z208" t="s">
        <v>579</v>
      </c>
      <c r="AA208" s="280">
        <v>40025</v>
      </c>
      <c r="AB208" t="s">
        <v>114</v>
      </c>
      <c r="AC208" t="s">
        <v>124</v>
      </c>
      <c r="AD208" s="280">
        <v>44651</v>
      </c>
      <c r="AE208" t="s">
        <v>125</v>
      </c>
      <c r="AF208">
        <v>6</v>
      </c>
      <c r="AG208">
        <v>0</v>
      </c>
      <c r="AH208">
        <v>0</v>
      </c>
      <c r="AI208" t="s">
        <v>126</v>
      </c>
      <c r="AL208">
        <v>1</v>
      </c>
      <c r="AN208">
        <v>1</v>
      </c>
      <c r="AO208">
        <v>0</v>
      </c>
      <c r="AP208" t="s">
        <v>1050</v>
      </c>
      <c r="AR208" t="s">
        <v>127</v>
      </c>
      <c r="AS208">
        <v>2804.4</v>
      </c>
      <c r="AU208">
        <v>0</v>
      </c>
      <c r="AV208">
        <v>0</v>
      </c>
      <c r="AW208">
        <v>0</v>
      </c>
      <c r="AX208">
        <v>2804.4</v>
      </c>
      <c r="AY208">
        <v>155.79999999999973</v>
      </c>
      <c r="AZ208">
        <v>0</v>
      </c>
      <c r="BC208">
        <v>-2648.6000000000004</v>
      </c>
      <c r="BE208" t="s">
        <v>114</v>
      </c>
      <c r="BH208">
        <v>-155.79999999999973</v>
      </c>
      <c r="BI208">
        <v>-12.983333333333311</v>
      </c>
      <c r="BK208" t="s">
        <v>116</v>
      </c>
      <c r="BL208">
        <v>0</v>
      </c>
      <c r="BM208">
        <v>-2804.4</v>
      </c>
      <c r="BR208">
        <v>0</v>
      </c>
      <c r="BS208">
        <v>0</v>
      </c>
      <c r="BW208" t="s">
        <v>167</v>
      </c>
      <c r="BX208" t="s">
        <v>168</v>
      </c>
      <c r="BZ208" t="s">
        <v>978</v>
      </c>
    </row>
    <row r="209" spans="1:78">
      <c r="A209" t="s">
        <v>382</v>
      </c>
      <c r="B209" t="s">
        <v>901</v>
      </c>
      <c r="C209" t="s">
        <v>54</v>
      </c>
      <c r="D209" t="s">
        <v>1</v>
      </c>
      <c r="E209" t="s">
        <v>115</v>
      </c>
      <c r="F209" t="s">
        <v>99</v>
      </c>
      <c r="G209" t="s">
        <v>100</v>
      </c>
      <c r="H209" t="s">
        <v>128</v>
      </c>
      <c r="I209" t="s">
        <v>100</v>
      </c>
      <c r="J209" t="s">
        <v>101</v>
      </c>
      <c r="K209" t="s">
        <v>559</v>
      </c>
      <c r="L209" t="s">
        <v>559</v>
      </c>
      <c r="M209" t="s">
        <v>100</v>
      </c>
      <c r="N209" t="s">
        <v>467</v>
      </c>
      <c r="O209" t="s">
        <v>100</v>
      </c>
      <c r="Q209" t="s">
        <v>467</v>
      </c>
      <c r="R209" t="s">
        <v>119</v>
      </c>
      <c r="S209" t="s">
        <v>130</v>
      </c>
      <c r="T209" t="s">
        <v>120</v>
      </c>
      <c r="U209" t="s">
        <v>101</v>
      </c>
      <c r="V209" t="s">
        <v>121</v>
      </c>
      <c r="W209" t="s">
        <v>122</v>
      </c>
      <c r="X209" t="s">
        <v>123</v>
      </c>
      <c r="Y209">
        <v>1</v>
      </c>
      <c r="Z209" t="s">
        <v>579</v>
      </c>
      <c r="AA209" s="280">
        <v>40025</v>
      </c>
      <c r="AB209" t="s">
        <v>114</v>
      </c>
      <c r="AC209" t="s">
        <v>124</v>
      </c>
      <c r="AD209" s="280">
        <v>44651</v>
      </c>
      <c r="AE209" t="s">
        <v>125</v>
      </c>
      <c r="AF209">
        <v>6</v>
      </c>
      <c r="AG209">
        <v>0</v>
      </c>
      <c r="AH209">
        <v>0</v>
      </c>
      <c r="AI209" t="s">
        <v>126</v>
      </c>
      <c r="AL209">
        <v>1</v>
      </c>
      <c r="AN209">
        <v>1</v>
      </c>
      <c r="AO209">
        <v>0</v>
      </c>
      <c r="AP209" t="s">
        <v>1052</v>
      </c>
      <c r="AR209" t="s">
        <v>127</v>
      </c>
      <c r="AS209">
        <v>2804.4</v>
      </c>
      <c r="AU209">
        <v>0</v>
      </c>
      <c r="AV209">
        <v>0</v>
      </c>
      <c r="AW209">
        <v>0</v>
      </c>
      <c r="AX209">
        <v>2804.4</v>
      </c>
      <c r="AY209">
        <v>155.79999999999973</v>
      </c>
      <c r="AZ209">
        <v>0</v>
      </c>
      <c r="BC209">
        <v>-2648.6000000000004</v>
      </c>
      <c r="BE209" t="s">
        <v>114</v>
      </c>
      <c r="BH209">
        <v>-155.79999999999973</v>
      </c>
      <c r="BI209">
        <v>-12.983333333333311</v>
      </c>
      <c r="BK209" t="s">
        <v>116</v>
      </c>
      <c r="BL209">
        <v>0</v>
      </c>
      <c r="BM209">
        <v>-2804.4</v>
      </c>
      <c r="BR209">
        <v>0</v>
      </c>
      <c r="BS209">
        <v>0</v>
      </c>
      <c r="BW209" t="s">
        <v>167</v>
      </c>
      <c r="BX209" t="s">
        <v>168</v>
      </c>
      <c r="BZ209" t="s">
        <v>989</v>
      </c>
    </row>
    <row r="210" spans="1:78">
      <c r="A210" t="s">
        <v>383</v>
      </c>
      <c r="B210" t="s">
        <v>911</v>
      </c>
      <c r="C210" t="s">
        <v>54</v>
      </c>
      <c r="D210" t="s">
        <v>1</v>
      </c>
      <c r="E210" t="s">
        <v>115</v>
      </c>
      <c r="F210" t="s">
        <v>99</v>
      </c>
      <c r="G210" t="s">
        <v>100</v>
      </c>
      <c r="H210" t="s">
        <v>128</v>
      </c>
      <c r="I210" t="s">
        <v>100</v>
      </c>
      <c r="J210" t="s">
        <v>101</v>
      </c>
      <c r="K210" t="s">
        <v>559</v>
      </c>
      <c r="L210" t="s">
        <v>559</v>
      </c>
      <c r="M210" t="s">
        <v>100</v>
      </c>
      <c r="N210" t="s">
        <v>523</v>
      </c>
      <c r="O210" t="s">
        <v>100</v>
      </c>
      <c r="Q210" t="s">
        <v>523</v>
      </c>
      <c r="R210" t="s">
        <v>119</v>
      </c>
      <c r="S210" t="s">
        <v>130</v>
      </c>
      <c r="T210" t="s">
        <v>120</v>
      </c>
      <c r="U210" t="s">
        <v>101</v>
      </c>
      <c r="V210" t="s">
        <v>121</v>
      </c>
      <c r="W210" t="s">
        <v>122</v>
      </c>
      <c r="X210" t="s">
        <v>123</v>
      </c>
      <c r="Y210">
        <v>1</v>
      </c>
      <c r="Z210" t="s">
        <v>579</v>
      </c>
      <c r="AA210" s="280">
        <v>40025</v>
      </c>
      <c r="AB210" t="s">
        <v>114</v>
      </c>
      <c r="AC210" t="s">
        <v>124</v>
      </c>
      <c r="AD210" s="280">
        <v>44651</v>
      </c>
      <c r="AE210" t="s">
        <v>125</v>
      </c>
      <c r="AF210">
        <v>6</v>
      </c>
      <c r="AG210">
        <v>0</v>
      </c>
      <c r="AH210">
        <v>0</v>
      </c>
      <c r="AI210" t="s">
        <v>126</v>
      </c>
      <c r="AL210">
        <v>1</v>
      </c>
      <c r="AN210">
        <v>1</v>
      </c>
      <c r="AO210">
        <v>0</v>
      </c>
      <c r="AP210" t="s">
        <v>1050</v>
      </c>
      <c r="AR210" t="s">
        <v>127</v>
      </c>
      <c r="AS210">
        <v>2804.4</v>
      </c>
      <c r="AU210">
        <v>0</v>
      </c>
      <c r="AV210">
        <v>0</v>
      </c>
      <c r="AW210">
        <v>0</v>
      </c>
      <c r="AX210">
        <v>2804.4</v>
      </c>
      <c r="AY210">
        <v>155.79999999999973</v>
      </c>
      <c r="AZ210">
        <v>0</v>
      </c>
      <c r="BC210">
        <v>-2648.6000000000004</v>
      </c>
      <c r="BE210" t="s">
        <v>114</v>
      </c>
      <c r="BH210">
        <v>-155.79999999999973</v>
      </c>
      <c r="BI210">
        <v>-12.983333333333311</v>
      </c>
      <c r="BK210" t="s">
        <v>116</v>
      </c>
      <c r="BL210">
        <v>0</v>
      </c>
      <c r="BM210">
        <v>-2804.4</v>
      </c>
      <c r="BR210">
        <v>0</v>
      </c>
      <c r="BS210">
        <v>0</v>
      </c>
      <c r="BW210" t="s">
        <v>167</v>
      </c>
      <c r="BX210" t="s">
        <v>168</v>
      </c>
      <c r="BZ210" t="s">
        <v>1012</v>
      </c>
    </row>
    <row r="211" spans="1:78">
      <c r="A211" t="s">
        <v>384</v>
      </c>
      <c r="B211" t="s">
        <v>886</v>
      </c>
      <c r="C211" t="s">
        <v>54</v>
      </c>
      <c r="D211" t="s">
        <v>1</v>
      </c>
      <c r="E211" t="s">
        <v>115</v>
      </c>
      <c r="F211" t="s">
        <v>99</v>
      </c>
      <c r="G211" t="s">
        <v>100</v>
      </c>
      <c r="H211" t="s">
        <v>128</v>
      </c>
      <c r="I211" t="s">
        <v>100</v>
      </c>
      <c r="J211" t="s">
        <v>101</v>
      </c>
      <c r="K211" t="s">
        <v>559</v>
      </c>
      <c r="L211" t="s">
        <v>559</v>
      </c>
      <c r="M211" t="s">
        <v>100</v>
      </c>
      <c r="N211" t="s">
        <v>489</v>
      </c>
      <c r="O211" t="s">
        <v>100</v>
      </c>
      <c r="Q211" t="s">
        <v>489</v>
      </c>
      <c r="R211" t="s">
        <v>119</v>
      </c>
      <c r="S211" t="s">
        <v>130</v>
      </c>
      <c r="T211" t="s">
        <v>120</v>
      </c>
      <c r="U211" t="s">
        <v>101</v>
      </c>
      <c r="V211" t="s">
        <v>121</v>
      </c>
      <c r="W211" t="s">
        <v>122</v>
      </c>
      <c r="X211" t="s">
        <v>123</v>
      </c>
      <c r="Y211">
        <v>1</v>
      </c>
      <c r="Z211" t="s">
        <v>579</v>
      </c>
      <c r="AA211" s="280">
        <v>40025</v>
      </c>
      <c r="AB211" t="s">
        <v>114</v>
      </c>
      <c r="AC211" t="s">
        <v>124</v>
      </c>
      <c r="AD211" s="280">
        <v>44651</v>
      </c>
      <c r="AE211" t="s">
        <v>125</v>
      </c>
      <c r="AF211">
        <v>6</v>
      </c>
      <c r="AG211">
        <v>0</v>
      </c>
      <c r="AH211">
        <v>0</v>
      </c>
      <c r="AI211" t="s">
        <v>126</v>
      </c>
      <c r="AL211">
        <v>1</v>
      </c>
      <c r="AN211">
        <v>1</v>
      </c>
      <c r="AO211">
        <v>0</v>
      </c>
      <c r="AP211" t="s">
        <v>1050</v>
      </c>
      <c r="AR211" t="s">
        <v>127</v>
      </c>
      <c r="AS211">
        <v>2804.4</v>
      </c>
      <c r="AU211">
        <v>0</v>
      </c>
      <c r="AV211">
        <v>0</v>
      </c>
      <c r="AW211">
        <v>0</v>
      </c>
      <c r="AX211">
        <v>2804.4</v>
      </c>
      <c r="AY211">
        <v>155.79999999999973</v>
      </c>
      <c r="AZ211">
        <v>0</v>
      </c>
      <c r="BC211">
        <v>-2648.6000000000004</v>
      </c>
      <c r="BE211" t="s">
        <v>114</v>
      </c>
      <c r="BH211">
        <v>-155.79999999999973</v>
      </c>
      <c r="BI211">
        <v>-12.983333333333311</v>
      </c>
      <c r="BK211" t="s">
        <v>116</v>
      </c>
      <c r="BL211">
        <v>0</v>
      </c>
      <c r="BM211">
        <v>-2804.4</v>
      </c>
      <c r="BR211">
        <v>0</v>
      </c>
      <c r="BS211">
        <v>0</v>
      </c>
      <c r="BW211" t="s">
        <v>167</v>
      </c>
      <c r="BX211" t="s">
        <v>168</v>
      </c>
      <c r="BZ211" t="s">
        <v>1013</v>
      </c>
    </row>
    <row r="212" spans="1:78">
      <c r="A212" t="s">
        <v>385</v>
      </c>
      <c r="B212" t="s">
        <v>903</v>
      </c>
      <c r="C212" t="s">
        <v>54</v>
      </c>
      <c r="D212" t="s">
        <v>1</v>
      </c>
      <c r="E212" t="s">
        <v>115</v>
      </c>
      <c r="F212" t="s">
        <v>99</v>
      </c>
      <c r="G212" t="s">
        <v>100</v>
      </c>
      <c r="H212" t="s">
        <v>128</v>
      </c>
      <c r="I212" t="s">
        <v>100</v>
      </c>
      <c r="J212" t="s">
        <v>101</v>
      </c>
      <c r="K212" t="s">
        <v>559</v>
      </c>
      <c r="L212" t="s">
        <v>559</v>
      </c>
      <c r="M212" t="s">
        <v>100</v>
      </c>
      <c r="N212" t="s">
        <v>524</v>
      </c>
      <c r="O212" t="s">
        <v>100</v>
      </c>
      <c r="Q212" t="s">
        <v>524</v>
      </c>
      <c r="R212" t="s">
        <v>119</v>
      </c>
      <c r="S212" t="s">
        <v>130</v>
      </c>
      <c r="T212" t="s">
        <v>120</v>
      </c>
      <c r="U212" t="s">
        <v>101</v>
      </c>
      <c r="V212" t="s">
        <v>121</v>
      </c>
      <c r="W212" t="s">
        <v>122</v>
      </c>
      <c r="X212" t="s">
        <v>123</v>
      </c>
      <c r="Y212">
        <v>1</v>
      </c>
      <c r="Z212" t="s">
        <v>561</v>
      </c>
      <c r="AA212" s="280">
        <v>38071</v>
      </c>
      <c r="AB212" t="s">
        <v>114</v>
      </c>
      <c r="AC212" t="s">
        <v>124</v>
      </c>
      <c r="AD212" s="280">
        <v>44651</v>
      </c>
      <c r="AE212" t="s">
        <v>125</v>
      </c>
      <c r="AF212">
        <v>6</v>
      </c>
      <c r="AG212">
        <v>0</v>
      </c>
      <c r="AH212">
        <v>0</v>
      </c>
      <c r="AI212" t="s">
        <v>126</v>
      </c>
      <c r="AL212">
        <v>1</v>
      </c>
      <c r="AN212">
        <v>1</v>
      </c>
      <c r="AO212">
        <v>0</v>
      </c>
      <c r="AP212" t="s">
        <v>1050</v>
      </c>
      <c r="AR212" t="s">
        <v>127</v>
      </c>
      <c r="AS212">
        <v>1888.75</v>
      </c>
      <c r="AU212">
        <v>0</v>
      </c>
      <c r="AV212">
        <v>0</v>
      </c>
      <c r="AW212">
        <v>0</v>
      </c>
      <c r="AX212">
        <v>1888.75</v>
      </c>
      <c r="AY212">
        <v>104.93055555555566</v>
      </c>
      <c r="AZ212">
        <v>0</v>
      </c>
      <c r="BC212">
        <v>-1783.8194444444443</v>
      </c>
      <c r="BE212" t="s">
        <v>114</v>
      </c>
      <c r="BH212">
        <v>-104.93055555555566</v>
      </c>
      <c r="BI212">
        <v>-8.7442129629629708</v>
      </c>
      <c r="BK212" t="s">
        <v>116</v>
      </c>
      <c r="BL212">
        <v>0</v>
      </c>
      <c r="BM212">
        <v>-1888.75</v>
      </c>
      <c r="BR212">
        <v>0</v>
      </c>
      <c r="BS212">
        <v>0</v>
      </c>
      <c r="BW212" t="s">
        <v>167</v>
      </c>
      <c r="BX212" t="s">
        <v>168</v>
      </c>
      <c r="BZ212" t="s">
        <v>994</v>
      </c>
    </row>
    <row r="213" spans="1:78">
      <c r="A213" t="s">
        <v>386</v>
      </c>
      <c r="B213" t="s">
        <v>885</v>
      </c>
      <c r="C213" t="s">
        <v>54</v>
      </c>
      <c r="D213" t="s">
        <v>1</v>
      </c>
      <c r="E213" t="s">
        <v>115</v>
      </c>
      <c r="F213" t="s">
        <v>99</v>
      </c>
      <c r="G213" t="s">
        <v>100</v>
      </c>
      <c r="H213" t="s">
        <v>128</v>
      </c>
      <c r="I213" t="s">
        <v>100</v>
      </c>
      <c r="J213" t="s">
        <v>101</v>
      </c>
      <c r="K213" t="s">
        <v>559</v>
      </c>
      <c r="L213" t="s">
        <v>559</v>
      </c>
      <c r="M213" t="s">
        <v>100</v>
      </c>
      <c r="N213" t="s">
        <v>489</v>
      </c>
      <c r="O213" t="s">
        <v>100</v>
      </c>
      <c r="Q213" t="s">
        <v>489</v>
      </c>
      <c r="R213" t="s">
        <v>119</v>
      </c>
      <c r="S213" t="s">
        <v>130</v>
      </c>
      <c r="T213" t="s">
        <v>120</v>
      </c>
      <c r="U213" t="s">
        <v>101</v>
      </c>
      <c r="V213" t="s">
        <v>121</v>
      </c>
      <c r="W213" t="s">
        <v>122</v>
      </c>
      <c r="X213" t="s">
        <v>123</v>
      </c>
      <c r="Y213">
        <v>1</v>
      </c>
      <c r="Z213" t="s">
        <v>579</v>
      </c>
      <c r="AA213" s="280">
        <v>40025</v>
      </c>
      <c r="AB213" t="s">
        <v>114</v>
      </c>
      <c r="AC213" t="s">
        <v>124</v>
      </c>
      <c r="AD213" s="280">
        <v>44651</v>
      </c>
      <c r="AE213" t="s">
        <v>125</v>
      </c>
      <c r="AF213">
        <v>6</v>
      </c>
      <c r="AG213">
        <v>0</v>
      </c>
      <c r="AH213">
        <v>0</v>
      </c>
      <c r="AI213" t="s">
        <v>126</v>
      </c>
      <c r="AL213">
        <v>1</v>
      </c>
      <c r="AN213">
        <v>1</v>
      </c>
      <c r="AO213">
        <v>0</v>
      </c>
      <c r="AP213" t="s">
        <v>1050</v>
      </c>
      <c r="AR213" t="s">
        <v>127</v>
      </c>
      <c r="AS213">
        <v>2804.4</v>
      </c>
      <c r="AU213">
        <v>0</v>
      </c>
      <c r="AV213">
        <v>0</v>
      </c>
      <c r="AW213">
        <v>0</v>
      </c>
      <c r="AX213">
        <v>2804.4</v>
      </c>
      <c r="AY213">
        <v>155.79999999999973</v>
      </c>
      <c r="AZ213">
        <v>0</v>
      </c>
      <c r="BC213">
        <v>-2648.6000000000004</v>
      </c>
      <c r="BE213" t="s">
        <v>114</v>
      </c>
      <c r="BH213">
        <v>-155.79999999999973</v>
      </c>
      <c r="BI213">
        <v>-12.983333333333311</v>
      </c>
      <c r="BK213" t="s">
        <v>116</v>
      </c>
      <c r="BL213">
        <v>0</v>
      </c>
      <c r="BM213">
        <v>-2804.4</v>
      </c>
      <c r="BR213">
        <v>0</v>
      </c>
      <c r="BS213">
        <v>0</v>
      </c>
      <c r="BW213" t="s">
        <v>167</v>
      </c>
      <c r="BX213" t="s">
        <v>168</v>
      </c>
      <c r="BZ213" t="s">
        <v>974</v>
      </c>
    </row>
    <row r="214" spans="1:78">
      <c r="A214" t="s">
        <v>387</v>
      </c>
      <c r="B214" t="s">
        <v>868</v>
      </c>
      <c r="C214" t="s">
        <v>54</v>
      </c>
      <c r="D214" t="s">
        <v>1</v>
      </c>
      <c r="E214" t="s">
        <v>115</v>
      </c>
      <c r="F214" t="s">
        <v>99</v>
      </c>
      <c r="G214" t="s">
        <v>100</v>
      </c>
      <c r="H214" t="s">
        <v>128</v>
      </c>
      <c r="I214" t="s">
        <v>100</v>
      </c>
      <c r="J214" t="s">
        <v>101</v>
      </c>
      <c r="K214" t="s">
        <v>559</v>
      </c>
      <c r="L214" t="s">
        <v>559</v>
      </c>
      <c r="M214" t="s">
        <v>100</v>
      </c>
      <c r="N214" t="s">
        <v>525</v>
      </c>
      <c r="O214" t="s">
        <v>100</v>
      </c>
      <c r="Q214" t="s">
        <v>525</v>
      </c>
      <c r="R214" t="s">
        <v>119</v>
      </c>
      <c r="S214" t="s">
        <v>130</v>
      </c>
      <c r="T214" t="s">
        <v>120</v>
      </c>
      <c r="U214" t="s">
        <v>101</v>
      </c>
      <c r="V214" t="s">
        <v>121</v>
      </c>
      <c r="W214" t="s">
        <v>122</v>
      </c>
      <c r="X214" t="s">
        <v>123</v>
      </c>
      <c r="Y214">
        <v>1</v>
      </c>
      <c r="Z214" t="s">
        <v>561</v>
      </c>
      <c r="AA214" s="280">
        <v>38071</v>
      </c>
      <c r="AB214" t="s">
        <v>114</v>
      </c>
      <c r="AC214" t="s">
        <v>124</v>
      </c>
      <c r="AD214" s="280">
        <v>44651</v>
      </c>
      <c r="AE214" t="s">
        <v>125</v>
      </c>
      <c r="AF214">
        <v>6</v>
      </c>
      <c r="AG214">
        <v>0</v>
      </c>
      <c r="AH214">
        <v>0</v>
      </c>
      <c r="AI214" t="s">
        <v>126</v>
      </c>
      <c r="AL214">
        <v>1</v>
      </c>
      <c r="AN214">
        <v>1</v>
      </c>
      <c r="AO214">
        <v>0</v>
      </c>
      <c r="AP214" t="s">
        <v>1050</v>
      </c>
      <c r="AR214" t="s">
        <v>127</v>
      </c>
      <c r="AS214">
        <v>6091.15</v>
      </c>
      <c r="AU214">
        <v>0</v>
      </c>
      <c r="AV214">
        <v>0</v>
      </c>
      <c r="AW214">
        <v>0</v>
      </c>
      <c r="AX214">
        <v>6091.15</v>
      </c>
      <c r="AY214">
        <v>338.3972222222219</v>
      </c>
      <c r="AZ214">
        <v>0</v>
      </c>
      <c r="BC214">
        <v>-5752.7527777777777</v>
      </c>
      <c r="BE214" t="s">
        <v>114</v>
      </c>
      <c r="BH214">
        <v>-338.3972222222219</v>
      </c>
      <c r="BI214">
        <v>-28.199768518518493</v>
      </c>
      <c r="BK214" t="s">
        <v>116</v>
      </c>
      <c r="BL214">
        <v>0</v>
      </c>
      <c r="BM214">
        <v>-6091.15</v>
      </c>
      <c r="BR214">
        <v>0</v>
      </c>
      <c r="BS214">
        <v>0</v>
      </c>
      <c r="BW214" t="s">
        <v>167</v>
      </c>
      <c r="BX214" t="s">
        <v>168</v>
      </c>
      <c r="BZ214" t="s">
        <v>961</v>
      </c>
    </row>
    <row r="215" spans="1:78">
      <c r="A215" t="s">
        <v>388</v>
      </c>
      <c r="B215" t="s">
        <v>869</v>
      </c>
      <c r="C215" t="s">
        <v>54</v>
      </c>
      <c r="D215" t="s">
        <v>1</v>
      </c>
      <c r="E215" t="s">
        <v>115</v>
      </c>
      <c r="F215" t="s">
        <v>99</v>
      </c>
      <c r="G215" t="s">
        <v>100</v>
      </c>
      <c r="H215" t="s">
        <v>128</v>
      </c>
      <c r="I215" t="s">
        <v>100</v>
      </c>
      <c r="J215" t="s">
        <v>101</v>
      </c>
      <c r="K215" t="s">
        <v>559</v>
      </c>
      <c r="L215" t="s">
        <v>559</v>
      </c>
      <c r="M215" t="s">
        <v>100</v>
      </c>
      <c r="N215" t="s">
        <v>522</v>
      </c>
      <c r="O215" t="s">
        <v>100</v>
      </c>
      <c r="Q215" t="s">
        <v>522</v>
      </c>
      <c r="R215" t="s">
        <v>119</v>
      </c>
      <c r="S215" t="s">
        <v>130</v>
      </c>
      <c r="T215" t="s">
        <v>120</v>
      </c>
      <c r="U215" t="s">
        <v>101</v>
      </c>
      <c r="V215" t="s">
        <v>121</v>
      </c>
      <c r="W215" t="s">
        <v>122</v>
      </c>
      <c r="X215" t="s">
        <v>123</v>
      </c>
      <c r="Y215">
        <v>1</v>
      </c>
      <c r="Z215" t="s">
        <v>591</v>
      </c>
      <c r="AA215" s="280">
        <v>38174</v>
      </c>
      <c r="AB215" t="s">
        <v>114</v>
      </c>
      <c r="AC215" t="s">
        <v>124</v>
      </c>
      <c r="AD215" s="280">
        <v>44651</v>
      </c>
      <c r="AE215" t="s">
        <v>125</v>
      </c>
      <c r="AF215">
        <v>6</v>
      </c>
      <c r="AG215">
        <v>0</v>
      </c>
      <c r="AH215">
        <v>0</v>
      </c>
      <c r="AI215" t="s">
        <v>126</v>
      </c>
      <c r="AL215">
        <v>1</v>
      </c>
      <c r="AN215">
        <v>1</v>
      </c>
      <c r="AO215">
        <v>0</v>
      </c>
      <c r="AP215" t="s">
        <v>1050</v>
      </c>
      <c r="AR215" t="s">
        <v>127</v>
      </c>
      <c r="AS215">
        <v>1516.2</v>
      </c>
      <c r="AU215">
        <v>0</v>
      </c>
      <c r="AV215">
        <v>0</v>
      </c>
      <c r="AW215">
        <v>0</v>
      </c>
      <c r="AX215">
        <v>1516.2</v>
      </c>
      <c r="AY215">
        <v>84.233333333333348</v>
      </c>
      <c r="AZ215">
        <v>0</v>
      </c>
      <c r="BC215">
        <v>-1431.9666666666667</v>
      </c>
      <c r="BE215" t="s">
        <v>114</v>
      </c>
      <c r="BH215">
        <v>-84.233333333333348</v>
      </c>
      <c r="BI215">
        <v>-7.0194444444444457</v>
      </c>
      <c r="BK215" t="s">
        <v>116</v>
      </c>
      <c r="BL215">
        <v>0</v>
      </c>
      <c r="BM215">
        <v>-1516.2</v>
      </c>
      <c r="BR215">
        <v>0</v>
      </c>
      <c r="BS215">
        <v>0</v>
      </c>
      <c r="BW215" t="s">
        <v>167</v>
      </c>
      <c r="BX215" t="s">
        <v>168</v>
      </c>
      <c r="BZ215" t="s">
        <v>952</v>
      </c>
    </row>
    <row r="216" spans="1:78">
      <c r="A216" t="s">
        <v>389</v>
      </c>
      <c r="B216" t="s">
        <v>864</v>
      </c>
      <c r="C216" t="s">
        <v>54</v>
      </c>
      <c r="D216" t="s">
        <v>1</v>
      </c>
      <c r="E216" t="s">
        <v>115</v>
      </c>
      <c r="F216" t="s">
        <v>99</v>
      </c>
      <c r="G216" t="s">
        <v>100</v>
      </c>
      <c r="H216" t="s">
        <v>128</v>
      </c>
      <c r="I216" t="s">
        <v>100</v>
      </c>
      <c r="J216" t="s">
        <v>101</v>
      </c>
      <c r="K216" t="s">
        <v>559</v>
      </c>
      <c r="L216" t="s">
        <v>559</v>
      </c>
      <c r="M216" t="s">
        <v>100</v>
      </c>
      <c r="N216" t="s">
        <v>526</v>
      </c>
      <c r="O216" t="s">
        <v>100</v>
      </c>
      <c r="Q216" t="s">
        <v>526</v>
      </c>
      <c r="R216" t="s">
        <v>119</v>
      </c>
      <c r="S216" t="s">
        <v>130</v>
      </c>
      <c r="T216" t="s">
        <v>120</v>
      </c>
      <c r="U216" t="s">
        <v>101</v>
      </c>
      <c r="V216" t="s">
        <v>121</v>
      </c>
      <c r="W216" t="s">
        <v>122</v>
      </c>
      <c r="X216" t="s">
        <v>123</v>
      </c>
      <c r="Y216">
        <v>1</v>
      </c>
      <c r="Z216" t="s">
        <v>561</v>
      </c>
      <c r="AA216" s="280">
        <v>38071</v>
      </c>
      <c r="AB216" t="s">
        <v>114</v>
      </c>
      <c r="AC216" t="s">
        <v>124</v>
      </c>
      <c r="AD216" s="280">
        <v>44651</v>
      </c>
      <c r="AE216" t="s">
        <v>125</v>
      </c>
      <c r="AF216">
        <v>6</v>
      </c>
      <c r="AG216">
        <v>0</v>
      </c>
      <c r="AH216">
        <v>0</v>
      </c>
      <c r="AI216" t="s">
        <v>126</v>
      </c>
      <c r="AL216">
        <v>1</v>
      </c>
      <c r="AN216">
        <v>1</v>
      </c>
      <c r="AO216">
        <v>0</v>
      </c>
      <c r="AP216" t="s">
        <v>1050</v>
      </c>
      <c r="AR216" t="s">
        <v>127</v>
      </c>
      <c r="AS216">
        <v>6091.15</v>
      </c>
      <c r="AU216">
        <v>0</v>
      </c>
      <c r="AV216">
        <v>0</v>
      </c>
      <c r="AW216">
        <v>0</v>
      </c>
      <c r="AX216">
        <v>6091.15</v>
      </c>
      <c r="AY216">
        <v>338.3972222222219</v>
      </c>
      <c r="AZ216">
        <v>0</v>
      </c>
      <c r="BC216">
        <v>-5752.7527777777777</v>
      </c>
      <c r="BE216" t="s">
        <v>114</v>
      </c>
      <c r="BH216">
        <v>-338.3972222222219</v>
      </c>
      <c r="BI216">
        <v>-28.199768518518493</v>
      </c>
      <c r="BK216" t="s">
        <v>116</v>
      </c>
      <c r="BL216">
        <v>0</v>
      </c>
      <c r="BM216">
        <v>-6091.15</v>
      </c>
      <c r="BR216">
        <v>0</v>
      </c>
      <c r="BS216">
        <v>0</v>
      </c>
      <c r="BW216" t="s">
        <v>167</v>
      </c>
      <c r="BX216" t="s">
        <v>168</v>
      </c>
      <c r="BZ216" t="s">
        <v>948</v>
      </c>
    </row>
    <row r="217" spans="1:78">
      <c r="A217" t="s">
        <v>390</v>
      </c>
      <c r="B217" t="s">
        <v>874</v>
      </c>
      <c r="C217" t="s">
        <v>54</v>
      </c>
      <c r="D217" t="s">
        <v>1</v>
      </c>
      <c r="E217" t="s">
        <v>115</v>
      </c>
      <c r="F217" t="s">
        <v>99</v>
      </c>
      <c r="G217" t="s">
        <v>100</v>
      </c>
      <c r="H217" t="s">
        <v>128</v>
      </c>
      <c r="I217" t="s">
        <v>100</v>
      </c>
      <c r="J217" t="s">
        <v>101</v>
      </c>
      <c r="K217" t="s">
        <v>559</v>
      </c>
      <c r="L217" t="s">
        <v>559</v>
      </c>
      <c r="M217" t="s">
        <v>100</v>
      </c>
      <c r="N217" t="s">
        <v>527</v>
      </c>
      <c r="O217" t="s">
        <v>100</v>
      </c>
      <c r="Q217" t="s">
        <v>527</v>
      </c>
      <c r="R217" t="s">
        <v>119</v>
      </c>
      <c r="S217" t="s">
        <v>130</v>
      </c>
      <c r="T217" t="s">
        <v>120</v>
      </c>
      <c r="U217" t="s">
        <v>101</v>
      </c>
      <c r="V217" t="s">
        <v>121</v>
      </c>
      <c r="W217" t="s">
        <v>122</v>
      </c>
      <c r="X217" t="s">
        <v>123</v>
      </c>
      <c r="Y217">
        <v>1</v>
      </c>
      <c r="Z217" t="s">
        <v>579</v>
      </c>
      <c r="AA217" s="280">
        <v>40025</v>
      </c>
      <c r="AB217" t="s">
        <v>114</v>
      </c>
      <c r="AC217" t="s">
        <v>124</v>
      </c>
      <c r="AD217" s="280">
        <v>44651</v>
      </c>
      <c r="AE217" t="s">
        <v>125</v>
      </c>
      <c r="AF217">
        <v>6</v>
      </c>
      <c r="AG217">
        <v>0</v>
      </c>
      <c r="AH217">
        <v>0</v>
      </c>
      <c r="AI217" t="s">
        <v>126</v>
      </c>
      <c r="AL217">
        <v>1</v>
      </c>
      <c r="AN217">
        <v>1</v>
      </c>
      <c r="AO217">
        <v>0</v>
      </c>
      <c r="AP217" t="s">
        <v>1050</v>
      </c>
      <c r="AR217" t="s">
        <v>127</v>
      </c>
      <c r="AS217">
        <v>5130</v>
      </c>
      <c r="AU217">
        <v>0</v>
      </c>
      <c r="AV217">
        <v>0</v>
      </c>
      <c r="AW217">
        <v>0</v>
      </c>
      <c r="AX217">
        <v>5130</v>
      </c>
      <c r="AY217">
        <v>285</v>
      </c>
      <c r="AZ217">
        <v>0</v>
      </c>
      <c r="BC217">
        <v>-4845</v>
      </c>
      <c r="BE217" t="s">
        <v>114</v>
      </c>
      <c r="BH217">
        <v>-285</v>
      </c>
      <c r="BI217">
        <v>-23.75</v>
      </c>
      <c r="BK217" t="s">
        <v>116</v>
      </c>
      <c r="BL217">
        <v>0</v>
      </c>
      <c r="BM217">
        <v>-5130</v>
      </c>
      <c r="BR217">
        <v>0</v>
      </c>
      <c r="BS217">
        <v>0</v>
      </c>
      <c r="BW217" t="s">
        <v>167</v>
      </c>
      <c r="BX217" t="s">
        <v>168</v>
      </c>
      <c r="BZ217" t="s">
        <v>959</v>
      </c>
    </row>
    <row r="218" spans="1:78">
      <c r="A218" t="s">
        <v>391</v>
      </c>
      <c r="B218" t="s">
        <v>865</v>
      </c>
      <c r="C218" t="s">
        <v>54</v>
      </c>
      <c r="D218" t="s">
        <v>1</v>
      </c>
      <c r="E218" t="s">
        <v>115</v>
      </c>
      <c r="F218" t="s">
        <v>99</v>
      </c>
      <c r="G218" t="s">
        <v>100</v>
      </c>
      <c r="H218" t="s">
        <v>128</v>
      </c>
      <c r="I218" t="s">
        <v>100</v>
      </c>
      <c r="J218" t="s">
        <v>101</v>
      </c>
      <c r="K218" t="s">
        <v>559</v>
      </c>
      <c r="L218" t="s">
        <v>559</v>
      </c>
      <c r="M218" t="s">
        <v>100</v>
      </c>
      <c r="N218" t="s">
        <v>528</v>
      </c>
      <c r="O218" t="s">
        <v>100</v>
      </c>
      <c r="Q218" t="s">
        <v>528</v>
      </c>
      <c r="R218" t="s">
        <v>119</v>
      </c>
      <c r="S218" t="s">
        <v>130</v>
      </c>
      <c r="T218" t="s">
        <v>120</v>
      </c>
      <c r="U218" t="s">
        <v>101</v>
      </c>
      <c r="V218" t="s">
        <v>121</v>
      </c>
      <c r="W218" t="s">
        <v>122</v>
      </c>
      <c r="X218" t="s">
        <v>123</v>
      </c>
      <c r="Y218">
        <v>1</v>
      </c>
      <c r="Z218" t="s">
        <v>592</v>
      </c>
      <c r="AA218" s="280">
        <v>42125</v>
      </c>
      <c r="AB218" t="s">
        <v>114</v>
      </c>
      <c r="AC218" t="s">
        <v>124</v>
      </c>
      <c r="AD218" s="280">
        <v>44651</v>
      </c>
      <c r="AE218" t="s">
        <v>125</v>
      </c>
      <c r="AF218">
        <v>6</v>
      </c>
      <c r="AG218">
        <v>0</v>
      </c>
      <c r="AH218">
        <v>0</v>
      </c>
      <c r="AI218" t="s">
        <v>126</v>
      </c>
      <c r="AL218">
        <v>1</v>
      </c>
      <c r="AN218">
        <v>1</v>
      </c>
      <c r="AO218">
        <v>0</v>
      </c>
      <c r="AP218" t="s">
        <v>1050</v>
      </c>
      <c r="AR218" t="s">
        <v>127</v>
      </c>
      <c r="AS218">
        <v>3967.2</v>
      </c>
      <c r="AU218">
        <v>0</v>
      </c>
      <c r="AV218">
        <v>0</v>
      </c>
      <c r="AW218">
        <v>0</v>
      </c>
      <c r="AX218">
        <v>3967.2</v>
      </c>
      <c r="AY218">
        <v>220.39999999999964</v>
      </c>
      <c r="AZ218">
        <v>0</v>
      </c>
      <c r="BC218">
        <v>-3746.8</v>
      </c>
      <c r="BE218" t="s">
        <v>114</v>
      </c>
      <c r="BH218">
        <v>-220.39999999999964</v>
      </c>
      <c r="BI218">
        <v>-18.366666666666635</v>
      </c>
      <c r="BK218" t="s">
        <v>116</v>
      </c>
      <c r="BL218">
        <v>0</v>
      </c>
      <c r="BM218">
        <v>-3967.2</v>
      </c>
      <c r="BR218">
        <v>0</v>
      </c>
      <c r="BS218">
        <v>0</v>
      </c>
      <c r="BW218" t="s">
        <v>167</v>
      </c>
      <c r="BX218" t="s">
        <v>168</v>
      </c>
      <c r="BZ218" t="s">
        <v>938</v>
      </c>
    </row>
    <row r="219" spans="1:78">
      <c r="A219" t="s">
        <v>392</v>
      </c>
      <c r="B219">
        <v>0</v>
      </c>
      <c r="C219" t="s">
        <v>54</v>
      </c>
      <c r="D219" t="s">
        <v>1</v>
      </c>
      <c r="E219" t="s">
        <v>115</v>
      </c>
      <c r="F219" t="s">
        <v>99</v>
      </c>
      <c r="G219" t="s">
        <v>100</v>
      </c>
      <c r="H219" t="s">
        <v>128</v>
      </c>
      <c r="I219" t="s">
        <v>100</v>
      </c>
      <c r="J219" t="s">
        <v>101</v>
      </c>
      <c r="K219" t="s">
        <v>559</v>
      </c>
      <c r="L219" t="s">
        <v>559</v>
      </c>
      <c r="M219" t="s">
        <v>100</v>
      </c>
      <c r="N219" t="s">
        <v>529</v>
      </c>
      <c r="O219" t="s">
        <v>100</v>
      </c>
      <c r="Q219" t="s">
        <v>529</v>
      </c>
      <c r="R219" t="s">
        <v>119</v>
      </c>
      <c r="S219" t="s">
        <v>130</v>
      </c>
      <c r="T219" t="s">
        <v>120</v>
      </c>
      <c r="U219" t="s">
        <v>101</v>
      </c>
      <c r="V219" t="s">
        <v>121</v>
      </c>
      <c r="W219" t="s">
        <v>122</v>
      </c>
      <c r="X219" t="s">
        <v>123</v>
      </c>
      <c r="Y219">
        <v>1</v>
      </c>
      <c r="Z219" t="s">
        <v>593</v>
      </c>
      <c r="AA219" s="280">
        <v>42270</v>
      </c>
      <c r="AB219" t="s">
        <v>114</v>
      </c>
      <c r="AC219" t="s">
        <v>124</v>
      </c>
      <c r="AD219" s="280">
        <v>44651</v>
      </c>
      <c r="AE219" t="s">
        <v>125</v>
      </c>
      <c r="AF219">
        <v>6</v>
      </c>
      <c r="AG219">
        <v>0</v>
      </c>
      <c r="AH219">
        <v>0</v>
      </c>
      <c r="AI219" t="s">
        <v>126</v>
      </c>
      <c r="AL219">
        <v>1</v>
      </c>
      <c r="AN219">
        <v>1</v>
      </c>
      <c r="AO219">
        <v>0</v>
      </c>
      <c r="AP219">
        <v>0</v>
      </c>
      <c r="AR219" t="s">
        <v>127</v>
      </c>
      <c r="AS219">
        <v>28428.53</v>
      </c>
      <c r="AU219">
        <v>0</v>
      </c>
      <c r="AV219">
        <v>0</v>
      </c>
      <c r="AW219">
        <v>0</v>
      </c>
      <c r="AX219">
        <v>28428.53</v>
      </c>
      <c r="AY219">
        <v>1579.3627777777801</v>
      </c>
      <c r="AZ219">
        <v>0</v>
      </c>
      <c r="BC219">
        <v>-26849.167222222219</v>
      </c>
      <c r="BE219" t="s">
        <v>114</v>
      </c>
      <c r="BH219">
        <v>-1579.3627777777801</v>
      </c>
      <c r="BI219">
        <v>-131.61356481481502</v>
      </c>
      <c r="BK219" t="s">
        <v>116</v>
      </c>
      <c r="BL219">
        <v>0</v>
      </c>
      <c r="BM219">
        <v>-28428.53</v>
      </c>
      <c r="BR219">
        <v>0</v>
      </c>
      <c r="BS219">
        <v>0</v>
      </c>
      <c r="BW219" t="s">
        <v>167</v>
      </c>
      <c r="BX219" t="s">
        <v>168</v>
      </c>
      <c r="BZ219">
        <v>0</v>
      </c>
    </row>
    <row r="220" spans="1:78">
      <c r="A220" t="s">
        <v>393</v>
      </c>
      <c r="B220" t="s">
        <v>890</v>
      </c>
      <c r="C220" t="s">
        <v>54</v>
      </c>
      <c r="D220" t="s">
        <v>1</v>
      </c>
      <c r="E220" t="s">
        <v>115</v>
      </c>
      <c r="F220" t="s">
        <v>99</v>
      </c>
      <c r="G220" t="s">
        <v>100</v>
      </c>
      <c r="H220" t="s">
        <v>128</v>
      </c>
      <c r="I220" t="s">
        <v>100</v>
      </c>
      <c r="J220" t="s">
        <v>101</v>
      </c>
      <c r="K220" t="s">
        <v>559</v>
      </c>
      <c r="L220" t="s">
        <v>559</v>
      </c>
      <c r="M220" t="s">
        <v>100</v>
      </c>
      <c r="N220" t="s">
        <v>530</v>
      </c>
      <c r="O220" t="s">
        <v>100</v>
      </c>
      <c r="Q220" t="s">
        <v>530</v>
      </c>
      <c r="R220" t="s">
        <v>119</v>
      </c>
      <c r="S220" t="s">
        <v>130</v>
      </c>
      <c r="T220" t="s">
        <v>120</v>
      </c>
      <c r="U220" t="s">
        <v>101</v>
      </c>
      <c r="V220" t="s">
        <v>121</v>
      </c>
      <c r="W220" t="s">
        <v>122</v>
      </c>
      <c r="X220" t="s">
        <v>123</v>
      </c>
      <c r="Y220">
        <v>1</v>
      </c>
      <c r="Z220" t="s">
        <v>593</v>
      </c>
      <c r="AA220" s="280">
        <v>42270</v>
      </c>
      <c r="AB220" t="s">
        <v>114</v>
      </c>
      <c r="AC220" t="s">
        <v>124</v>
      </c>
      <c r="AD220" s="280">
        <v>44651</v>
      </c>
      <c r="AE220" t="s">
        <v>125</v>
      </c>
      <c r="AF220">
        <v>6</v>
      </c>
      <c r="AG220">
        <v>0</v>
      </c>
      <c r="AH220">
        <v>0</v>
      </c>
      <c r="AI220" t="s">
        <v>126</v>
      </c>
      <c r="AL220">
        <v>1</v>
      </c>
      <c r="AN220">
        <v>1</v>
      </c>
      <c r="AO220">
        <v>0</v>
      </c>
      <c r="AP220" t="s">
        <v>1050</v>
      </c>
      <c r="AR220" t="s">
        <v>127</v>
      </c>
      <c r="AS220">
        <v>9669.02</v>
      </c>
      <c r="AU220">
        <v>0</v>
      </c>
      <c r="AV220">
        <v>0</v>
      </c>
      <c r="AW220">
        <v>0</v>
      </c>
      <c r="AX220">
        <v>9669.02</v>
      </c>
      <c r="AY220">
        <v>537.16777777777679</v>
      </c>
      <c r="AZ220">
        <v>0</v>
      </c>
      <c r="BC220">
        <v>-9131.8522222222236</v>
      </c>
      <c r="BE220" t="s">
        <v>114</v>
      </c>
      <c r="BH220">
        <v>-537.16777777777679</v>
      </c>
      <c r="BI220">
        <v>-44.763981481481402</v>
      </c>
      <c r="BK220" t="s">
        <v>116</v>
      </c>
      <c r="BL220">
        <v>0</v>
      </c>
      <c r="BM220">
        <v>-9669.02</v>
      </c>
      <c r="BR220">
        <v>0</v>
      </c>
      <c r="BS220">
        <v>0</v>
      </c>
      <c r="BW220" t="s">
        <v>167</v>
      </c>
      <c r="BX220" t="s">
        <v>168</v>
      </c>
      <c r="BZ220" t="s">
        <v>940</v>
      </c>
    </row>
    <row r="221" spans="1:78">
      <c r="A221" t="s">
        <v>394</v>
      </c>
      <c r="B221" t="s">
        <v>912</v>
      </c>
      <c r="C221" t="s">
        <v>54</v>
      </c>
      <c r="D221" t="s">
        <v>1</v>
      </c>
      <c r="E221" t="s">
        <v>115</v>
      </c>
      <c r="F221" t="s">
        <v>99</v>
      </c>
      <c r="G221" t="s">
        <v>100</v>
      </c>
      <c r="H221" t="s">
        <v>128</v>
      </c>
      <c r="I221" t="s">
        <v>100</v>
      </c>
      <c r="J221" t="s">
        <v>101</v>
      </c>
      <c r="K221" t="s">
        <v>559</v>
      </c>
      <c r="L221" t="s">
        <v>559</v>
      </c>
      <c r="M221" t="s">
        <v>100</v>
      </c>
      <c r="N221" t="s">
        <v>531</v>
      </c>
      <c r="O221" t="s">
        <v>100</v>
      </c>
      <c r="Q221" t="s">
        <v>531</v>
      </c>
      <c r="R221" t="s">
        <v>119</v>
      </c>
      <c r="S221" t="s">
        <v>130</v>
      </c>
      <c r="T221" t="s">
        <v>120</v>
      </c>
      <c r="U221" t="s">
        <v>101</v>
      </c>
      <c r="V221" t="s">
        <v>121</v>
      </c>
      <c r="W221" t="s">
        <v>122</v>
      </c>
      <c r="X221" t="s">
        <v>123</v>
      </c>
      <c r="Y221">
        <v>1</v>
      </c>
      <c r="Z221" t="s">
        <v>593</v>
      </c>
      <c r="AA221" s="280">
        <v>42270</v>
      </c>
      <c r="AB221" t="s">
        <v>114</v>
      </c>
      <c r="AC221" t="s">
        <v>124</v>
      </c>
      <c r="AD221" s="280">
        <v>44651</v>
      </c>
      <c r="AE221" t="s">
        <v>125</v>
      </c>
      <c r="AF221">
        <v>6</v>
      </c>
      <c r="AG221">
        <v>0</v>
      </c>
      <c r="AH221">
        <v>0</v>
      </c>
      <c r="AI221" t="s">
        <v>126</v>
      </c>
      <c r="AL221">
        <v>1</v>
      </c>
      <c r="AN221">
        <v>1</v>
      </c>
      <c r="AO221">
        <v>0</v>
      </c>
      <c r="AP221" t="s">
        <v>1050</v>
      </c>
      <c r="AR221" t="s">
        <v>127</v>
      </c>
      <c r="AS221">
        <v>3956.8</v>
      </c>
      <c r="AU221">
        <v>0</v>
      </c>
      <c r="AV221">
        <v>0</v>
      </c>
      <c r="AW221">
        <v>0</v>
      </c>
      <c r="AX221">
        <v>3956.8</v>
      </c>
      <c r="AY221">
        <v>219.82222222222208</v>
      </c>
      <c r="AZ221">
        <v>0</v>
      </c>
      <c r="BC221">
        <v>-3736.9777777777781</v>
      </c>
      <c r="BE221" t="s">
        <v>114</v>
      </c>
      <c r="BH221">
        <v>-219.82222222222208</v>
      </c>
      <c r="BI221">
        <v>-18.318518518518506</v>
      </c>
      <c r="BK221" t="s">
        <v>116</v>
      </c>
      <c r="BL221">
        <v>0</v>
      </c>
      <c r="BM221">
        <v>-3956.8</v>
      </c>
      <c r="BR221">
        <v>0</v>
      </c>
      <c r="BS221">
        <v>0</v>
      </c>
      <c r="BW221" t="s">
        <v>167</v>
      </c>
      <c r="BX221" t="s">
        <v>168</v>
      </c>
      <c r="BZ221" t="s">
        <v>940</v>
      </c>
    </row>
    <row r="222" spans="1:78">
      <c r="A222" t="s">
        <v>395</v>
      </c>
      <c r="B222" t="s">
        <v>913</v>
      </c>
      <c r="C222" t="s">
        <v>54</v>
      </c>
      <c r="D222" t="s">
        <v>1</v>
      </c>
      <c r="E222" t="s">
        <v>115</v>
      </c>
      <c r="F222" t="s">
        <v>99</v>
      </c>
      <c r="G222" t="s">
        <v>100</v>
      </c>
      <c r="H222" t="s">
        <v>128</v>
      </c>
      <c r="I222" t="s">
        <v>100</v>
      </c>
      <c r="J222" t="s">
        <v>101</v>
      </c>
      <c r="K222" t="s">
        <v>559</v>
      </c>
      <c r="L222" t="s">
        <v>559</v>
      </c>
      <c r="M222" t="s">
        <v>100</v>
      </c>
      <c r="N222" t="s">
        <v>531</v>
      </c>
      <c r="O222" t="s">
        <v>100</v>
      </c>
      <c r="Q222" t="s">
        <v>531</v>
      </c>
      <c r="R222" t="s">
        <v>119</v>
      </c>
      <c r="S222" t="s">
        <v>130</v>
      </c>
      <c r="T222" t="s">
        <v>120</v>
      </c>
      <c r="U222" t="s">
        <v>101</v>
      </c>
      <c r="V222" t="s">
        <v>121</v>
      </c>
      <c r="W222" t="s">
        <v>122</v>
      </c>
      <c r="X222" t="s">
        <v>123</v>
      </c>
      <c r="Y222">
        <v>1</v>
      </c>
      <c r="Z222" t="s">
        <v>593</v>
      </c>
      <c r="AA222" s="280">
        <v>42270</v>
      </c>
      <c r="AB222" t="s">
        <v>114</v>
      </c>
      <c r="AC222" t="s">
        <v>124</v>
      </c>
      <c r="AD222" s="280">
        <v>44651</v>
      </c>
      <c r="AE222" t="s">
        <v>125</v>
      </c>
      <c r="AF222">
        <v>6</v>
      </c>
      <c r="AG222">
        <v>0</v>
      </c>
      <c r="AH222">
        <v>0</v>
      </c>
      <c r="AI222" t="s">
        <v>126</v>
      </c>
      <c r="AL222">
        <v>1</v>
      </c>
      <c r="AN222">
        <v>1</v>
      </c>
      <c r="AO222">
        <v>0</v>
      </c>
      <c r="AP222" t="s">
        <v>1051</v>
      </c>
      <c r="AR222" t="s">
        <v>127</v>
      </c>
      <c r="AS222">
        <v>3956.8</v>
      </c>
      <c r="AU222">
        <v>0</v>
      </c>
      <c r="AV222">
        <v>0</v>
      </c>
      <c r="AW222">
        <v>0</v>
      </c>
      <c r="AX222">
        <v>3956.8</v>
      </c>
      <c r="AY222">
        <v>219.82222222222208</v>
      </c>
      <c r="AZ222">
        <v>0</v>
      </c>
      <c r="BC222">
        <v>-3736.9777777777781</v>
      </c>
      <c r="BE222" t="s">
        <v>114</v>
      </c>
      <c r="BH222">
        <v>-219.82222222222208</v>
      </c>
      <c r="BI222">
        <v>-18.318518518518506</v>
      </c>
      <c r="BK222" t="s">
        <v>116</v>
      </c>
      <c r="BL222">
        <v>0</v>
      </c>
      <c r="BM222">
        <v>-3956.8</v>
      </c>
      <c r="BR222">
        <v>0</v>
      </c>
      <c r="BS222">
        <v>0</v>
      </c>
      <c r="BW222" t="s">
        <v>167</v>
      </c>
      <c r="BX222" t="s">
        <v>168</v>
      </c>
      <c r="BZ222" t="s">
        <v>940</v>
      </c>
    </row>
    <row r="223" spans="1:78">
      <c r="A223" t="s">
        <v>396</v>
      </c>
      <c r="B223" t="s">
        <v>869</v>
      </c>
      <c r="C223" t="s">
        <v>54</v>
      </c>
      <c r="D223" t="s">
        <v>1</v>
      </c>
      <c r="E223" t="s">
        <v>115</v>
      </c>
      <c r="F223" t="s">
        <v>99</v>
      </c>
      <c r="G223" t="s">
        <v>100</v>
      </c>
      <c r="H223" t="s">
        <v>128</v>
      </c>
      <c r="I223" t="s">
        <v>100</v>
      </c>
      <c r="J223" t="s">
        <v>101</v>
      </c>
      <c r="K223" t="s">
        <v>559</v>
      </c>
      <c r="L223" t="s">
        <v>559</v>
      </c>
      <c r="M223" t="s">
        <v>100</v>
      </c>
      <c r="N223" t="s">
        <v>532</v>
      </c>
      <c r="O223" t="s">
        <v>100</v>
      </c>
      <c r="Q223" t="s">
        <v>532</v>
      </c>
      <c r="R223" t="s">
        <v>119</v>
      </c>
      <c r="S223" t="s">
        <v>130</v>
      </c>
      <c r="T223" t="s">
        <v>120</v>
      </c>
      <c r="U223" t="s">
        <v>101</v>
      </c>
      <c r="V223" t="s">
        <v>121</v>
      </c>
      <c r="W223" t="s">
        <v>122</v>
      </c>
      <c r="X223" t="s">
        <v>123</v>
      </c>
      <c r="Y223">
        <v>1</v>
      </c>
      <c r="Z223" t="s">
        <v>593</v>
      </c>
      <c r="AA223" s="280">
        <v>42270</v>
      </c>
      <c r="AB223" t="s">
        <v>114</v>
      </c>
      <c r="AC223" t="s">
        <v>124</v>
      </c>
      <c r="AD223" s="280">
        <v>44651</v>
      </c>
      <c r="AE223" t="s">
        <v>125</v>
      </c>
      <c r="AF223">
        <v>6</v>
      </c>
      <c r="AG223">
        <v>0</v>
      </c>
      <c r="AH223">
        <v>0</v>
      </c>
      <c r="AI223" t="s">
        <v>126</v>
      </c>
      <c r="AL223">
        <v>1</v>
      </c>
      <c r="AN223">
        <v>1</v>
      </c>
      <c r="AO223">
        <v>0</v>
      </c>
      <c r="AP223" t="s">
        <v>1050</v>
      </c>
      <c r="AR223" t="s">
        <v>127</v>
      </c>
      <c r="AS223">
        <v>2278.86</v>
      </c>
      <c r="AU223">
        <v>0</v>
      </c>
      <c r="AV223">
        <v>0</v>
      </c>
      <c r="AW223">
        <v>0</v>
      </c>
      <c r="AX223">
        <v>2278.86</v>
      </c>
      <c r="AY223">
        <v>126.60333333333347</v>
      </c>
      <c r="AZ223">
        <v>0</v>
      </c>
      <c r="BC223">
        <v>-2152.2566666666667</v>
      </c>
      <c r="BE223" t="s">
        <v>114</v>
      </c>
      <c r="BH223">
        <v>-126.60333333333347</v>
      </c>
      <c r="BI223">
        <v>-10.550277777777788</v>
      </c>
      <c r="BK223" t="s">
        <v>116</v>
      </c>
      <c r="BL223">
        <v>0</v>
      </c>
      <c r="BM223">
        <v>-2278.86</v>
      </c>
      <c r="BR223">
        <v>0</v>
      </c>
      <c r="BS223">
        <v>0</v>
      </c>
      <c r="BW223" t="s">
        <v>167</v>
      </c>
      <c r="BX223" t="s">
        <v>168</v>
      </c>
      <c r="BZ223" t="s">
        <v>952</v>
      </c>
    </row>
    <row r="224" spans="1:78">
      <c r="A224" t="s">
        <v>397</v>
      </c>
      <c r="B224" t="s">
        <v>890</v>
      </c>
      <c r="C224" t="s">
        <v>54</v>
      </c>
      <c r="D224" t="s">
        <v>1</v>
      </c>
      <c r="E224" t="s">
        <v>115</v>
      </c>
      <c r="F224" t="s">
        <v>99</v>
      </c>
      <c r="G224" t="s">
        <v>100</v>
      </c>
      <c r="H224" t="s">
        <v>128</v>
      </c>
      <c r="I224" t="s">
        <v>100</v>
      </c>
      <c r="J224" t="s">
        <v>101</v>
      </c>
      <c r="K224" t="s">
        <v>559</v>
      </c>
      <c r="L224" t="s">
        <v>559</v>
      </c>
      <c r="M224" t="s">
        <v>100</v>
      </c>
      <c r="N224" t="s">
        <v>532</v>
      </c>
      <c r="O224" t="s">
        <v>100</v>
      </c>
      <c r="Q224" t="s">
        <v>532</v>
      </c>
      <c r="R224" t="s">
        <v>119</v>
      </c>
      <c r="S224" t="s">
        <v>130</v>
      </c>
      <c r="T224" t="s">
        <v>120</v>
      </c>
      <c r="U224" t="s">
        <v>101</v>
      </c>
      <c r="V224" t="s">
        <v>121</v>
      </c>
      <c r="W224" t="s">
        <v>122</v>
      </c>
      <c r="X224" t="s">
        <v>123</v>
      </c>
      <c r="Y224">
        <v>1</v>
      </c>
      <c r="Z224" t="s">
        <v>593</v>
      </c>
      <c r="AA224" s="280">
        <v>42270</v>
      </c>
      <c r="AB224" t="s">
        <v>114</v>
      </c>
      <c r="AC224" t="s">
        <v>124</v>
      </c>
      <c r="AD224" s="280">
        <v>44651</v>
      </c>
      <c r="AE224" t="s">
        <v>125</v>
      </c>
      <c r="AF224">
        <v>6</v>
      </c>
      <c r="AG224">
        <v>0</v>
      </c>
      <c r="AH224">
        <v>0</v>
      </c>
      <c r="AI224" t="s">
        <v>126</v>
      </c>
      <c r="AL224">
        <v>1</v>
      </c>
      <c r="AN224">
        <v>1</v>
      </c>
      <c r="AO224">
        <v>0</v>
      </c>
      <c r="AP224" t="s">
        <v>1050</v>
      </c>
      <c r="AR224" t="s">
        <v>127</v>
      </c>
      <c r="AS224">
        <v>2278.86</v>
      </c>
      <c r="AU224">
        <v>0</v>
      </c>
      <c r="AV224">
        <v>0</v>
      </c>
      <c r="AW224">
        <v>0</v>
      </c>
      <c r="AX224">
        <v>2278.86</v>
      </c>
      <c r="AY224">
        <v>126.60333333333347</v>
      </c>
      <c r="AZ224">
        <v>0</v>
      </c>
      <c r="BC224">
        <v>-2152.2566666666667</v>
      </c>
      <c r="BE224" t="s">
        <v>114</v>
      </c>
      <c r="BH224">
        <v>-126.60333333333347</v>
      </c>
      <c r="BI224">
        <v>-10.550277777777788</v>
      </c>
      <c r="BK224" t="s">
        <v>116</v>
      </c>
      <c r="BL224">
        <v>0</v>
      </c>
      <c r="BM224">
        <v>-2278.86</v>
      </c>
      <c r="BR224">
        <v>0</v>
      </c>
      <c r="BS224">
        <v>0</v>
      </c>
      <c r="BW224" t="s">
        <v>167</v>
      </c>
      <c r="BX224" t="s">
        <v>168</v>
      </c>
      <c r="BZ224" t="s">
        <v>940</v>
      </c>
    </row>
    <row r="225" spans="1:78">
      <c r="A225" t="s">
        <v>398</v>
      </c>
      <c r="B225" t="s">
        <v>913</v>
      </c>
      <c r="C225" t="s">
        <v>54</v>
      </c>
      <c r="D225" t="s">
        <v>1</v>
      </c>
      <c r="E225" t="s">
        <v>115</v>
      </c>
      <c r="F225" t="s">
        <v>99</v>
      </c>
      <c r="G225" t="s">
        <v>100</v>
      </c>
      <c r="H225" t="s">
        <v>128</v>
      </c>
      <c r="I225" t="s">
        <v>100</v>
      </c>
      <c r="J225" t="s">
        <v>101</v>
      </c>
      <c r="K225" t="s">
        <v>559</v>
      </c>
      <c r="L225" t="s">
        <v>559</v>
      </c>
      <c r="M225" t="s">
        <v>100</v>
      </c>
      <c r="N225" t="s">
        <v>532</v>
      </c>
      <c r="O225" t="s">
        <v>100</v>
      </c>
      <c r="Q225" t="s">
        <v>532</v>
      </c>
      <c r="R225" t="s">
        <v>119</v>
      </c>
      <c r="S225" t="s">
        <v>130</v>
      </c>
      <c r="T225" t="s">
        <v>120</v>
      </c>
      <c r="U225" t="s">
        <v>101</v>
      </c>
      <c r="V225" t="s">
        <v>121</v>
      </c>
      <c r="W225" t="s">
        <v>122</v>
      </c>
      <c r="X225" t="s">
        <v>123</v>
      </c>
      <c r="Y225">
        <v>1</v>
      </c>
      <c r="Z225" t="s">
        <v>593</v>
      </c>
      <c r="AA225" s="280">
        <v>42270</v>
      </c>
      <c r="AB225" t="s">
        <v>114</v>
      </c>
      <c r="AC225" t="s">
        <v>124</v>
      </c>
      <c r="AD225" s="280">
        <v>44651</v>
      </c>
      <c r="AE225" t="s">
        <v>125</v>
      </c>
      <c r="AF225">
        <v>6</v>
      </c>
      <c r="AG225">
        <v>0</v>
      </c>
      <c r="AH225">
        <v>0</v>
      </c>
      <c r="AI225" t="s">
        <v>126</v>
      </c>
      <c r="AL225">
        <v>1</v>
      </c>
      <c r="AN225">
        <v>1</v>
      </c>
      <c r="AO225">
        <v>0</v>
      </c>
      <c r="AP225" t="s">
        <v>1050</v>
      </c>
      <c r="AR225" t="s">
        <v>127</v>
      </c>
      <c r="AS225">
        <v>2278.86</v>
      </c>
      <c r="AU225">
        <v>0</v>
      </c>
      <c r="AV225">
        <v>0</v>
      </c>
      <c r="AW225">
        <v>0</v>
      </c>
      <c r="AX225">
        <v>2278.86</v>
      </c>
      <c r="AY225">
        <v>126.60333333333347</v>
      </c>
      <c r="AZ225">
        <v>0</v>
      </c>
      <c r="BC225">
        <v>-2152.2566666666667</v>
      </c>
      <c r="BE225" t="s">
        <v>114</v>
      </c>
      <c r="BH225">
        <v>-126.60333333333347</v>
      </c>
      <c r="BI225">
        <v>-10.550277777777788</v>
      </c>
      <c r="BK225" t="s">
        <v>116</v>
      </c>
      <c r="BL225">
        <v>0</v>
      </c>
      <c r="BM225">
        <v>-2278.86</v>
      </c>
      <c r="BR225">
        <v>0</v>
      </c>
      <c r="BS225">
        <v>0</v>
      </c>
      <c r="BW225" t="s">
        <v>167</v>
      </c>
      <c r="BX225" t="s">
        <v>168</v>
      </c>
      <c r="BZ225" t="s">
        <v>940</v>
      </c>
    </row>
    <row r="226" spans="1:78">
      <c r="A226" t="s">
        <v>399</v>
      </c>
      <c r="B226" t="s">
        <v>912</v>
      </c>
      <c r="C226" t="s">
        <v>54</v>
      </c>
      <c r="D226" t="s">
        <v>1</v>
      </c>
      <c r="E226" t="s">
        <v>115</v>
      </c>
      <c r="F226" t="s">
        <v>99</v>
      </c>
      <c r="G226" t="s">
        <v>100</v>
      </c>
      <c r="H226" t="s">
        <v>128</v>
      </c>
      <c r="I226" t="s">
        <v>100</v>
      </c>
      <c r="J226" t="s">
        <v>101</v>
      </c>
      <c r="K226" t="s">
        <v>559</v>
      </c>
      <c r="L226" t="s">
        <v>559</v>
      </c>
      <c r="M226" t="s">
        <v>100</v>
      </c>
      <c r="N226" t="s">
        <v>532</v>
      </c>
      <c r="O226" t="s">
        <v>100</v>
      </c>
      <c r="Q226" t="s">
        <v>532</v>
      </c>
      <c r="R226" t="s">
        <v>119</v>
      </c>
      <c r="S226" t="s">
        <v>130</v>
      </c>
      <c r="T226" t="s">
        <v>120</v>
      </c>
      <c r="U226" t="s">
        <v>101</v>
      </c>
      <c r="V226" t="s">
        <v>121</v>
      </c>
      <c r="W226" t="s">
        <v>122</v>
      </c>
      <c r="X226" t="s">
        <v>123</v>
      </c>
      <c r="Y226">
        <v>1</v>
      </c>
      <c r="Z226" t="s">
        <v>593</v>
      </c>
      <c r="AA226" s="280">
        <v>42270</v>
      </c>
      <c r="AB226" t="s">
        <v>114</v>
      </c>
      <c r="AC226" t="s">
        <v>124</v>
      </c>
      <c r="AD226" s="280">
        <v>44651</v>
      </c>
      <c r="AE226" t="s">
        <v>125</v>
      </c>
      <c r="AF226">
        <v>6</v>
      </c>
      <c r="AG226">
        <v>0</v>
      </c>
      <c r="AH226">
        <v>0</v>
      </c>
      <c r="AI226" t="s">
        <v>126</v>
      </c>
      <c r="AL226">
        <v>1</v>
      </c>
      <c r="AN226">
        <v>1</v>
      </c>
      <c r="AO226">
        <v>0</v>
      </c>
      <c r="AP226" t="s">
        <v>1050</v>
      </c>
      <c r="AR226" t="s">
        <v>127</v>
      </c>
      <c r="AS226">
        <v>2278.86</v>
      </c>
      <c r="AU226">
        <v>0</v>
      </c>
      <c r="AV226">
        <v>0</v>
      </c>
      <c r="AW226">
        <v>0</v>
      </c>
      <c r="AX226">
        <v>2278.86</v>
      </c>
      <c r="AY226">
        <v>126.60333333333347</v>
      </c>
      <c r="AZ226">
        <v>0</v>
      </c>
      <c r="BC226">
        <v>-2152.2566666666667</v>
      </c>
      <c r="BE226" t="s">
        <v>114</v>
      </c>
      <c r="BH226">
        <v>-126.60333333333347</v>
      </c>
      <c r="BI226">
        <v>-10.550277777777788</v>
      </c>
      <c r="BK226" t="s">
        <v>116</v>
      </c>
      <c r="BL226">
        <v>0</v>
      </c>
      <c r="BM226">
        <v>-2278.86</v>
      </c>
      <c r="BR226">
        <v>0</v>
      </c>
      <c r="BS226">
        <v>0</v>
      </c>
      <c r="BW226" t="s">
        <v>167</v>
      </c>
      <c r="BX226" t="s">
        <v>168</v>
      </c>
      <c r="BZ226" t="s">
        <v>940</v>
      </c>
    </row>
    <row r="227" spans="1:78">
      <c r="A227" t="s">
        <v>400</v>
      </c>
      <c r="B227" t="s">
        <v>890</v>
      </c>
      <c r="C227" t="s">
        <v>54</v>
      </c>
      <c r="D227" t="s">
        <v>1</v>
      </c>
      <c r="E227" t="s">
        <v>115</v>
      </c>
      <c r="F227" t="s">
        <v>99</v>
      </c>
      <c r="G227" t="s">
        <v>100</v>
      </c>
      <c r="H227" t="s">
        <v>128</v>
      </c>
      <c r="I227" t="s">
        <v>100</v>
      </c>
      <c r="J227" t="s">
        <v>101</v>
      </c>
      <c r="K227" t="s">
        <v>559</v>
      </c>
      <c r="L227" t="s">
        <v>559</v>
      </c>
      <c r="M227" t="s">
        <v>100</v>
      </c>
      <c r="N227" t="s">
        <v>532</v>
      </c>
      <c r="O227" t="s">
        <v>100</v>
      </c>
      <c r="Q227" t="s">
        <v>532</v>
      </c>
      <c r="R227" t="s">
        <v>119</v>
      </c>
      <c r="S227" t="s">
        <v>130</v>
      </c>
      <c r="T227" t="s">
        <v>120</v>
      </c>
      <c r="U227" t="s">
        <v>101</v>
      </c>
      <c r="V227" t="s">
        <v>121</v>
      </c>
      <c r="W227" t="s">
        <v>122</v>
      </c>
      <c r="X227" t="s">
        <v>123</v>
      </c>
      <c r="Y227">
        <v>1</v>
      </c>
      <c r="Z227" t="s">
        <v>593</v>
      </c>
      <c r="AA227" s="280">
        <v>42270</v>
      </c>
      <c r="AB227" t="s">
        <v>114</v>
      </c>
      <c r="AC227" t="s">
        <v>124</v>
      </c>
      <c r="AD227" s="280">
        <v>44651</v>
      </c>
      <c r="AE227" t="s">
        <v>125</v>
      </c>
      <c r="AF227">
        <v>6</v>
      </c>
      <c r="AG227">
        <v>0</v>
      </c>
      <c r="AH227">
        <v>0</v>
      </c>
      <c r="AI227" t="s">
        <v>126</v>
      </c>
      <c r="AL227">
        <v>1</v>
      </c>
      <c r="AN227">
        <v>1</v>
      </c>
      <c r="AO227">
        <v>0</v>
      </c>
      <c r="AP227" t="s">
        <v>1050</v>
      </c>
      <c r="AR227" t="s">
        <v>127</v>
      </c>
      <c r="AS227">
        <v>2278.86</v>
      </c>
      <c r="AU227">
        <v>0</v>
      </c>
      <c r="AV227">
        <v>0</v>
      </c>
      <c r="AW227">
        <v>0</v>
      </c>
      <c r="AX227">
        <v>2278.86</v>
      </c>
      <c r="AY227">
        <v>126.60333333333347</v>
      </c>
      <c r="AZ227">
        <v>0</v>
      </c>
      <c r="BC227">
        <v>-2152.2566666666667</v>
      </c>
      <c r="BE227" t="s">
        <v>114</v>
      </c>
      <c r="BH227">
        <v>-126.60333333333347</v>
      </c>
      <c r="BI227">
        <v>-10.550277777777788</v>
      </c>
      <c r="BK227" t="s">
        <v>116</v>
      </c>
      <c r="BL227">
        <v>0</v>
      </c>
      <c r="BM227">
        <v>-2278.86</v>
      </c>
      <c r="BR227">
        <v>0</v>
      </c>
      <c r="BS227">
        <v>0</v>
      </c>
      <c r="BW227" t="s">
        <v>167</v>
      </c>
      <c r="BX227" t="s">
        <v>168</v>
      </c>
      <c r="BZ227" t="s">
        <v>940</v>
      </c>
    </row>
    <row r="228" spans="1:78">
      <c r="A228" t="s">
        <v>401</v>
      </c>
      <c r="B228" t="s">
        <v>862</v>
      </c>
      <c r="C228" t="s">
        <v>54</v>
      </c>
      <c r="D228" t="s">
        <v>1</v>
      </c>
      <c r="E228" t="s">
        <v>115</v>
      </c>
      <c r="F228" t="s">
        <v>99</v>
      </c>
      <c r="G228" t="s">
        <v>100</v>
      </c>
      <c r="H228" t="s">
        <v>128</v>
      </c>
      <c r="I228" t="s">
        <v>100</v>
      </c>
      <c r="J228" t="s">
        <v>101</v>
      </c>
      <c r="K228" t="s">
        <v>559</v>
      </c>
      <c r="L228" t="s">
        <v>559</v>
      </c>
      <c r="M228" t="s">
        <v>100</v>
      </c>
      <c r="N228" t="s">
        <v>532</v>
      </c>
      <c r="O228" t="s">
        <v>100</v>
      </c>
      <c r="Q228" t="s">
        <v>532</v>
      </c>
      <c r="R228" t="s">
        <v>119</v>
      </c>
      <c r="S228" t="s">
        <v>130</v>
      </c>
      <c r="T228" t="s">
        <v>120</v>
      </c>
      <c r="U228" t="s">
        <v>101</v>
      </c>
      <c r="V228" t="s">
        <v>121</v>
      </c>
      <c r="W228" t="s">
        <v>122</v>
      </c>
      <c r="X228" t="s">
        <v>123</v>
      </c>
      <c r="Y228">
        <v>1</v>
      </c>
      <c r="Z228" t="s">
        <v>593</v>
      </c>
      <c r="AA228" s="280">
        <v>42270</v>
      </c>
      <c r="AB228" t="s">
        <v>114</v>
      </c>
      <c r="AC228" t="s">
        <v>124</v>
      </c>
      <c r="AD228" s="280">
        <v>44651</v>
      </c>
      <c r="AE228" t="s">
        <v>125</v>
      </c>
      <c r="AF228">
        <v>6</v>
      </c>
      <c r="AG228">
        <v>0</v>
      </c>
      <c r="AH228">
        <v>0</v>
      </c>
      <c r="AI228" t="s">
        <v>126</v>
      </c>
      <c r="AL228">
        <v>1</v>
      </c>
      <c r="AN228">
        <v>1</v>
      </c>
      <c r="AO228">
        <v>0</v>
      </c>
      <c r="AP228" t="s">
        <v>1050</v>
      </c>
      <c r="AR228" t="s">
        <v>127</v>
      </c>
      <c r="AS228">
        <v>2278.86</v>
      </c>
      <c r="AU228">
        <v>0</v>
      </c>
      <c r="AV228">
        <v>0</v>
      </c>
      <c r="AW228">
        <v>0</v>
      </c>
      <c r="AX228">
        <v>2278.86</v>
      </c>
      <c r="AY228">
        <v>126.60333333333347</v>
      </c>
      <c r="AZ228">
        <v>0</v>
      </c>
      <c r="BC228">
        <v>-2152.2566666666667</v>
      </c>
      <c r="BE228" t="s">
        <v>114</v>
      </c>
      <c r="BH228">
        <v>-126.60333333333347</v>
      </c>
      <c r="BI228">
        <v>-10.550277777777788</v>
      </c>
      <c r="BK228" t="s">
        <v>116</v>
      </c>
      <c r="BL228">
        <v>0</v>
      </c>
      <c r="BM228">
        <v>-2278.86</v>
      </c>
      <c r="BR228">
        <v>0</v>
      </c>
      <c r="BS228">
        <v>0</v>
      </c>
      <c r="BW228" t="s">
        <v>167</v>
      </c>
      <c r="BX228" t="s">
        <v>168</v>
      </c>
      <c r="BZ228" t="s">
        <v>942</v>
      </c>
    </row>
    <row r="229" spans="1:78">
      <c r="A229" t="s">
        <v>402</v>
      </c>
      <c r="B229" t="s">
        <v>913</v>
      </c>
      <c r="C229" t="s">
        <v>54</v>
      </c>
      <c r="D229" t="s">
        <v>1</v>
      </c>
      <c r="E229" t="s">
        <v>115</v>
      </c>
      <c r="F229" t="s">
        <v>99</v>
      </c>
      <c r="G229" t="s">
        <v>100</v>
      </c>
      <c r="H229" t="s">
        <v>128</v>
      </c>
      <c r="I229" t="s">
        <v>100</v>
      </c>
      <c r="J229" t="s">
        <v>101</v>
      </c>
      <c r="K229" t="s">
        <v>559</v>
      </c>
      <c r="L229" t="s">
        <v>559</v>
      </c>
      <c r="M229" t="s">
        <v>100</v>
      </c>
      <c r="N229" t="s">
        <v>532</v>
      </c>
      <c r="O229" t="s">
        <v>100</v>
      </c>
      <c r="Q229" t="s">
        <v>532</v>
      </c>
      <c r="R229" t="s">
        <v>119</v>
      </c>
      <c r="S229" t="s">
        <v>130</v>
      </c>
      <c r="T229" t="s">
        <v>120</v>
      </c>
      <c r="U229" t="s">
        <v>101</v>
      </c>
      <c r="V229" t="s">
        <v>121</v>
      </c>
      <c r="W229" t="s">
        <v>122</v>
      </c>
      <c r="X229" t="s">
        <v>123</v>
      </c>
      <c r="Y229">
        <v>1</v>
      </c>
      <c r="Z229" t="s">
        <v>593</v>
      </c>
      <c r="AA229" s="280">
        <v>42270</v>
      </c>
      <c r="AB229" t="s">
        <v>114</v>
      </c>
      <c r="AC229" t="s">
        <v>124</v>
      </c>
      <c r="AD229" s="280">
        <v>44651</v>
      </c>
      <c r="AE229" t="s">
        <v>125</v>
      </c>
      <c r="AF229">
        <v>6</v>
      </c>
      <c r="AG229">
        <v>0</v>
      </c>
      <c r="AH229">
        <v>0</v>
      </c>
      <c r="AI229" t="s">
        <v>126</v>
      </c>
      <c r="AL229">
        <v>1</v>
      </c>
      <c r="AN229">
        <v>1</v>
      </c>
      <c r="AO229">
        <v>0</v>
      </c>
      <c r="AP229" t="s">
        <v>1050</v>
      </c>
      <c r="AR229" t="s">
        <v>127</v>
      </c>
      <c r="AS229">
        <v>2278.86</v>
      </c>
      <c r="AU229">
        <v>0</v>
      </c>
      <c r="AV229">
        <v>0</v>
      </c>
      <c r="AW229">
        <v>0</v>
      </c>
      <c r="AX229">
        <v>2278.86</v>
      </c>
      <c r="AY229">
        <v>126.60333333333347</v>
      </c>
      <c r="AZ229">
        <v>0</v>
      </c>
      <c r="BC229">
        <v>-2152.2566666666667</v>
      </c>
      <c r="BE229" t="s">
        <v>114</v>
      </c>
      <c r="BH229">
        <v>-126.60333333333347</v>
      </c>
      <c r="BI229">
        <v>-10.550277777777788</v>
      </c>
      <c r="BK229" t="s">
        <v>116</v>
      </c>
      <c r="BL229">
        <v>0</v>
      </c>
      <c r="BM229">
        <v>-2278.86</v>
      </c>
      <c r="BR229">
        <v>0</v>
      </c>
      <c r="BS229">
        <v>0</v>
      </c>
      <c r="BW229" t="s">
        <v>167</v>
      </c>
      <c r="BX229" t="s">
        <v>168</v>
      </c>
      <c r="BZ229" t="s">
        <v>940</v>
      </c>
    </row>
    <row r="230" spans="1:78">
      <c r="A230" t="s">
        <v>403</v>
      </c>
      <c r="B230" t="s">
        <v>913</v>
      </c>
      <c r="C230" t="s">
        <v>54</v>
      </c>
      <c r="D230" t="s">
        <v>1</v>
      </c>
      <c r="E230" t="s">
        <v>115</v>
      </c>
      <c r="F230" t="s">
        <v>99</v>
      </c>
      <c r="G230" t="s">
        <v>100</v>
      </c>
      <c r="H230" t="s">
        <v>128</v>
      </c>
      <c r="I230" t="s">
        <v>100</v>
      </c>
      <c r="J230" t="s">
        <v>101</v>
      </c>
      <c r="K230" t="s">
        <v>559</v>
      </c>
      <c r="L230" t="s">
        <v>559</v>
      </c>
      <c r="M230" t="s">
        <v>100</v>
      </c>
      <c r="N230" t="s">
        <v>532</v>
      </c>
      <c r="O230" t="s">
        <v>100</v>
      </c>
      <c r="Q230" t="s">
        <v>532</v>
      </c>
      <c r="R230" t="s">
        <v>119</v>
      </c>
      <c r="S230" t="s">
        <v>130</v>
      </c>
      <c r="T230" t="s">
        <v>120</v>
      </c>
      <c r="U230" t="s">
        <v>101</v>
      </c>
      <c r="V230" t="s">
        <v>121</v>
      </c>
      <c r="W230" t="s">
        <v>122</v>
      </c>
      <c r="X230" t="s">
        <v>123</v>
      </c>
      <c r="Y230">
        <v>1</v>
      </c>
      <c r="Z230" t="s">
        <v>593</v>
      </c>
      <c r="AA230" s="280">
        <v>42270</v>
      </c>
      <c r="AB230" t="s">
        <v>114</v>
      </c>
      <c r="AC230" t="s">
        <v>124</v>
      </c>
      <c r="AD230" s="280">
        <v>44651</v>
      </c>
      <c r="AE230" t="s">
        <v>125</v>
      </c>
      <c r="AF230">
        <v>6</v>
      </c>
      <c r="AG230">
        <v>0</v>
      </c>
      <c r="AH230">
        <v>0</v>
      </c>
      <c r="AI230" t="s">
        <v>126</v>
      </c>
      <c r="AL230">
        <v>1</v>
      </c>
      <c r="AN230">
        <v>1</v>
      </c>
      <c r="AO230">
        <v>0</v>
      </c>
      <c r="AP230" t="s">
        <v>1050</v>
      </c>
      <c r="AR230" t="s">
        <v>127</v>
      </c>
      <c r="AS230">
        <v>2278.86</v>
      </c>
      <c r="AU230">
        <v>0</v>
      </c>
      <c r="AV230">
        <v>0</v>
      </c>
      <c r="AW230">
        <v>0</v>
      </c>
      <c r="AX230">
        <v>2278.86</v>
      </c>
      <c r="AY230">
        <v>126.60333333333347</v>
      </c>
      <c r="AZ230">
        <v>0</v>
      </c>
      <c r="BC230">
        <v>-2152.2566666666667</v>
      </c>
      <c r="BE230" t="s">
        <v>114</v>
      </c>
      <c r="BH230">
        <v>-126.60333333333347</v>
      </c>
      <c r="BI230">
        <v>-10.550277777777788</v>
      </c>
      <c r="BK230" t="s">
        <v>116</v>
      </c>
      <c r="BL230">
        <v>0</v>
      </c>
      <c r="BM230">
        <v>-2278.86</v>
      </c>
      <c r="BR230">
        <v>0</v>
      </c>
      <c r="BS230">
        <v>0</v>
      </c>
      <c r="BW230" t="s">
        <v>167</v>
      </c>
      <c r="BX230" t="s">
        <v>168</v>
      </c>
      <c r="BZ230" t="s">
        <v>940</v>
      </c>
    </row>
    <row r="231" spans="1:78">
      <c r="A231" t="s">
        <v>404</v>
      </c>
      <c r="B231" t="s">
        <v>859</v>
      </c>
      <c r="C231" t="s">
        <v>54</v>
      </c>
      <c r="D231" t="s">
        <v>1</v>
      </c>
      <c r="E231" t="s">
        <v>115</v>
      </c>
      <c r="F231" t="s">
        <v>99</v>
      </c>
      <c r="G231" t="s">
        <v>100</v>
      </c>
      <c r="H231" t="s">
        <v>128</v>
      </c>
      <c r="I231" t="s">
        <v>100</v>
      </c>
      <c r="J231" t="s">
        <v>101</v>
      </c>
      <c r="K231" t="s">
        <v>559</v>
      </c>
      <c r="L231" t="s">
        <v>559</v>
      </c>
      <c r="M231" t="s">
        <v>100</v>
      </c>
      <c r="N231" t="s">
        <v>532</v>
      </c>
      <c r="O231" t="s">
        <v>100</v>
      </c>
      <c r="Q231" t="s">
        <v>532</v>
      </c>
      <c r="R231" t="s">
        <v>119</v>
      </c>
      <c r="S231" t="s">
        <v>130</v>
      </c>
      <c r="T231" t="s">
        <v>120</v>
      </c>
      <c r="U231" t="s">
        <v>101</v>
      </c>
      <c r="V231" t="s">
        <v>121</v>
      </c>
      <c r="W231" t="s">
        <v>122</v>
      </c>
      <c r="X231" t="s">
        <v>123</v>
      </c>
      <c r="Y231">
        <v>1</v>
      </c>
      <c r="Z231" t="s">
        <v>593</v>
      </c>
      <c r="AA231" s="280">
        <v>42270</v>
      </c>
      <c r="AB231" t="s">
        <v>114</v>
      </c>
      <c r="AC231" t="s">
        <v>124</v>
      </c>
      <c r="AD231" s="280">
        <v>44651</v>
      </c>
      <c r="AE231" t="s">
        <v>125</v>
      </c>
      <c r="AF231">
        <v>6</v>
      </c>
      <c r="AG231">
        <v>0</v>
      </c>
      <c r="AH231">
        <v>0</v>
      </c>
      <c r="AI231" t="s">
        <v>126</v>
      </c>
      <c r="AL231">
        <v>1</v>
      </c>
      <c r="AN231">
        <v>1</v>
      </c>
      <c r="AO231">
        <v>0</v>
      </c>
      <c r="AP231" t="s">
        <v>1050</v>
      </c>
      <c r="AR231" t="s">
        <v>127</v>
      </c>
      <c r="AS231">
        <v>2278.86</v>
      </c>
      <c r="AU231">
        <v>0</v>
      </c>
      <c r="AV231">
        <v>0</v>
      </c>
      <c r="AW231">
        <v>0</v>
      </c>
      <c r="AX231">
        <v>2278.86</v>
      </c>
      <c r="AY231">
        <v>126.60333333333347</v>
      </c>
      <c r="AZ231">
        <v>0</v>
      </c>
      <c r="BC231">
        <v>-2152.2566666666667</v>
      </c>
      <c r="BE231" t="s">
        <v>114</v>
      </c>
      <c r="BH231">
        <v>-126.60333333333347</v>
      </c>
      <c r="BI231">
        <v>-10.550277777777788</v>
      </c>
      <c r="BK231" t="s">
        <v>116</v>
      </c>
      <c r="BL231">
        <v>0</v>
      </c>
      <c r="BM231">
        <v>-2278.86</v>
      </c>
      <c r="BR231">
        <v>0</v>
      </c>
      <c r="BS231">
        <v>0</v>
      </c>
      <c r="BW231" t="s">
        <v>167</v>
      </c>
      <c r="BX231" t="s">
        <v>168</v>
      </c>
      <c r="BZ231" t="s">
        <v>997</v>
      </c>
    </row>
    <row r="232" spans="1:78">
      <c r="A232" t="s">
        <v>405</v>
      </c>
      <c r="B232" t="s">
        <v>913</v>
      </c>
      <c r="C232" t="s">
        <v>54</v>
      </c>
      <c r="D232" t="s">
        <v>1</v>
      </c>
      <c r="E232" t="s">
        <v>115</v>
      </c>
      <c r="F232" t="s">
        <v>99</v>
      </c>
      <c r="G232" t="s">
        <v>100</v>
      </c>
      <c r="H232" t="s">
        <v>128</v>
      </c>
      <c r="I232" t="s">
        <v>100</v>
      </c>
      <c r="J232" t="s">
        <v>101</v>
      </c>
      <c r="K232" t="s">
        <v>559</v>
      </c>
      <c r="L232" t="s">
        <v>559</v>
      </c>
      <c r="M232" t="s">
        <v>100</v>
      </c>
      <c r="N232" t="s">
        <v>532</v>
      </c>
      <c r="O232" t="s">
        <v>100</v>
      </c>
      <c r="Q232" t="s">
        <v>532</v>
      </c>
      <c r="R232" t="s">
        <v>119</v>
      </c>
      <c r="S232" t="s">
        <v>130</v>
      </c>
      <c r="T232" t="s">
        <v>120</v>
      </c>
      <c r="U232" t="s">
        <v>101</v>
      </c>
      <c r="V232" t="s">
        <v>121</v>
      </c>
      <c r="W232" t="s">
        <v>122</v>
      </c>
      <c r="X232" t="s">
        <v>123</v>
      </c>
      <c r="Y232">
        <v>1</v>
      </c>
      <c r="Z232" t="s">
        <v>593</v>
      </c>
      <c r="AA232" s="280">
        <v>42270</v>
      </c>
      <c r="AB232" t="s">
        <v>114</v>
      </c>
      <c r="AC232" t="s">
        <v>124</v>
      </c>
      <c r="AD232" s="280">
        <v>44651</v>
      </c>
      <c r="AE232" t="s">
        <v>125</v>
      </c>
      <c r="AF232">
        <v>6</v>
      </c>
      <c r="AG232">
        <v>0</v>
      </c>
      <c r="AH232">
        <v>0</v>
      </c>
      <c r="AI232" t="s">
        <v>126</v>
      </c>
      <c r="AL232">
        <v>1</v>
      </c>
      <c r="AN232">
        <v>1</v>
      </c>
      <c r="AO232">
        <v>0</v>
      </c>
      <c r="AP232" t="s">
        <v>1050</v>
      </c>
      <c r="AR232" t="s">
        <v>127</v>
      </c>
      <c r="AS232">
        <v>2278.86</v>
      </c>
      <c r="AU232">
        <v>0</v>
      </c>
      <c r="AV232">
        <v>0</v>
      </c>
      <c r="AW232">
        <v>0</v>
      </c>
      <c r="AX232">
        <v>2278.86</v>
      </c>
      <c r="AY232">
        <v>126.60333333333347</v>
      </c>
      <c r="AZ232">
        <v>0</v>
      </c>
      <c r="BC232">
        <v>-2152.2566666666667</v>
      </c>
      <c r="BE232" t="s">
        <v>114</v>
      </c>
      <c r="BH232">
        <v>-126.60333333333347</v>
      </c>
      <c r="BI232">
        <v>-10.550277777777788</v>
      </c>
      <c r="BK232" t="s">
        <v>116</v>
      </c>
      <c r="BL232">
        <v>0</v>
      </c>
      <c r="BM232">
        <v>-2278.86</v>
      </c>
      <c r="BR232">
        <v>0</v>
      </c>
      <c r="BS232">
        <v>0</v>
      </c>
      <c r="BW232" t="s">
        <v>167</v>
      </c>
      <c r="BX232" t="s">
        <v>168</v>
      </c>
      <c r="BZ232" t="s">
        <v>940</v>
      </c>
    </row>
    <row r="233" spans="1:78">
      <c r="A233" t="s">
        <v>406</v>
      </c>
      <c r="B233" t="s">
        <v>913</v>
      </c>
      <c r="C233" t="s">
        <v>54</v>
      </c>
      <c r="D233" t="s">
        <v>1</v>
      </c>
      <c r="E233" t="s">
        <v>115</v>
      </c>
      <c r="F233" t="s">
        <v>99</v>
      </c>
      <c r="G233" t="s">
        <v>100</v>
      </c>
      <c r="H233" t="s">
        <v>128</v>
      </c>
      <c r="I233" t="s">
        <v>100</v>
      </c>
      <c r="J233" t="s">
        <v>101</v>
      </c>
      <c r="K233" t="s">
        <v>559</v>
      </c>
      <c r="L233" t="s">
        <v>559</v>
      </c>
      <c r="M233" t="s">
        <v>100</v>
      </c>
      <c r="N233" t="s">
        <v>532</v>
      </c>
      <c r="O233" t="s">
        <v>100</v>
      </c>
      <c r="Q233" t="s">
        <v>532</v>
      </c>
      <c r="R233" t="s">
        <v>119</v>
      </c>
      <c r="S233" t="s">
        <v>130</v>
      </c>
      <c r="T233" t="s">
        <v>120</v>
      </c>
      <c r="U233" t="s">
        <v>101</v>
      </c>
      <c r="V233" t="s">
        <v>121</v>
      </c>
      <c r="W233" t="s">
        <v>122</v>
      </c>
      <c r="X233" t="s">
        <v>123</v>
      </c>
      <c r="Y233">
        <v>1</v>
      </c>
      <c r="Z233" t="s">
        <v>593</v>
      </c>
      <c r="AA233" s="280">
        <v>42270</v>
      </c>
      <c r="AB233" t="s">
        <v>114</v>
      </c>
      <c r="AC233" t="s">
        <v>124</v>
      </c>
      <c r="AD233" s="280">
        <v>44651</v>
      </c>
      <c r="AE233" t="s">
        <v>125</v>
      </c>
      <c r="AF233">
        <v>6</v>
      </c>
      <c r="AG233">
        <v>0</v>
      </c>
      <c r="AH233">
        <v>0</v>
      </c>
      <c r="AI233" t="s">
        <v>126</v>
      </c>
      <c r="AL233">
        <v>1</v>
      </c>
      <c r="AN233">
        <v>1</v>
      </c>
      <c r="AO233">
        <v>0</v>
      </c>
      <c r="AP233" t="s">
        <v>1050</v>
      </c>
      <c r="AR233" t="s">
        <v>127</v>
      </c>
      <c r="AS233">
        <v>2278.86</v>
      </c>
      <c r="AU233">
        <v>0</v>
      </c>
      <c r="AV233">
        <v>0</v>
      </c>
      <c r="AW233">
        <v>0</v>
      </c>
      <c r="AX233">
        <v>2278.86</v>
      </c>
      <c r="AY233">
        <v>126.60333333333347</v>
      </c>
      <c r="AZ233">
        <v>0</v>
      </c>
      <c r="BC233">
        <v>-2152.2566666666667</v>
      </c>
      <c r="BE233" t="s">
        <v>114</v>
      </c>
      <c r="BH233">
        <v>-126.60333333333347</v>
      </c>
      <c r="BI233">
        <v>-10.550277777777788</v>
      </c>
      <c r="BK233" t="s">
        <v>116</v>
      </c>
      <c r="BL233">
        <v>0</v>
      </c>
      <c r="BM233">
        <v>-2278.86</v>
      </c>
      <c r="BR233">
        <v>0</v>
      </c>
      <c r="BS233">
        <v>0</v>
      </c>
      <c r="BW233" t="s">
        <v>167</v>
      </c>
      <c r="BX233" t="s">
        <v>168</v>
      </c>
      <c r="BZ233" t="s">
        <v>940</v>
      </c>
    </row>
    <row r="234" spans="1:78">
      <c r="A234" t="s">
        <v>407</v>
      </c>
      <c r="B234" t="s">
        <v>890</v>
      </c>
      <c r="C234" t="s">
        <v>54</v>
      </c>
      <c r="D234" t="s">
        <v>1</v>
      </c>
      <c r="E234" t="s">
        <v>115</v>
      </c>
      <c r="F234" t="s">
        <v>99</v>
      </c>
      <c r="G234" t="s">
        <v>100</v>
      </c>
      <c r="H234" t="s">
        <v>128</v>
      </c>
      <c r="I234" t="s">
        <v>100</v>
      </c>
      <c r="J234" t="s">
        <v>101</v>
      </c>
      <c r="K234" t="s">
        <v>559</v>
      </c>
      <c r="L234" t="s">
        <v>559</v>
      </c>
      <c r="M234" t="s">
        <v>100</v>
      </c>
      <c r="N234" t="s">
        <v>532</v>
      </c>
      <c r="O234" t="s">
        <v>100</v>
      </c>
      <c r="Q234" t="s">
        <v>532</v>
      </c>
      <c r="R234" t="s">
        <v>119</v>
      </c>
      <c r="S234" t="s">
        <v>130</v>
      </c>
      <c r="T234" t="s">
        <v>120</v>
      </c>
      <c r="U234" t="s">
        <v>101</v>
      </c>
      <c r="V234" t="s">
        <v>121</v>
      </c>
      <c r="W234" t="s">
        <v>122</v>
      </c>
      <c r="X234" t="s">
        <v>123</v>
      </c>
      <c r="Y234">
        <v>1</v>
      </c>
      <c r="Z234" t="s">
        <v>593</v>
      </c>
      <c r="AA234" s="280">
        <v>42270</v>
      </c>
      <c r="AB234" t="s">
        <v>114</v>
      </c>
      <c r="AC234" t="s">
        <v>124</v>
      </c>
      <c r="AD234" s="280">
        <v>44651</v>
      </c>
      <c r="AE234" t="s">
        <v>125</v>
      </c>
      <c r="AF234">
        <v>6</v>
      </c>
      <c r="AG234">
        <v>0</v>
      </c>
      <c r="AH234">
        <v>0</v>
      </c>
      <c r="AI234" t="s">
        <v>126</v>
      </c>
      <c r="AL234">
        <v>1</v>
      </c>
      <c r="AN234">
        <v>1</v>
      </c>
      <c r="AO234">
        <v>0</v>
      </c>
      <c r="AP234" t="s">
        <v>1050</v>
      </c>
      <c r="AR234" t="s">
        <v>127</v>
      </c>
      <c r="AS234">
        <v>2278.86</v>
      </c>
      <c r="AU234">
        <v>0</v>
      </c>
      <c r="AV234">
        <v>0</v>
      </c>
      <c r="AW234">
        <v>0</v>
      </c>
      <c r="AX234">
        <v>2278.86</v>
      </c>
      <c r="AY234">
        <v>126.60333333333347</v>
      </c>
      <c r="AZ234">
        <v>0</v>
      </c>
      <c r="BC234">
        <v>-2152.2566666666667</v>
      </c>
      <c r="BE234" t="s">
        <v>114</v>
      </c>
      <c r="BH234">
        <v>-126.60333333333347</v>
      </c>
      <c r="BI234">
        <v>-10.550277777777788</v>
      </c>
      <c r="BK234" t="s">
        <v>116</v>
      </c>
      <c r="BL234">
        <v>0</v>
      </c>
      <c r="BM234">
        <v>-2278.86</v>
      </c>
      <c r="BR234">
        <v>0</v>
      </c>
      <c r="BS234">
        <v>0</v>
      </c>
      <c r="BW234" t="s">
        <v>167</v>
      </c>
      <c r="BX234" t="s">
        <v>168</v>
      </c>
      <c r="BZ234" t="s">
        <v>940</v>
      </c>
    </row>
    <row r="235" spans="1:78">
      <c r="A235" t="s">
        <v>408</v>
      </c>
      <c r="B235" t="s">
        <v>913</v>
      </c>
      <c r="C235" t="s">
        <v>54</v>
      </c>
      <c r="D235" t="s">
        <v>1</v>
      </c>
      <c r="E235" t="s">
        <v>115</v>
      </c>
      <c r="F235" t="s">
        <v>99</v>
      </c>
      <c r="G235" t="s">
        <v>100</v>
      </c>
      <c r="H235" t="s">
        <v>128</v>
      </c>
      <c r="I235" t="s">
        <v>100</v>
      </c>
      <c r="J235" t="s">
        <v>101</v>
      </c>
      <c r="K235" t="s">
        <v>559</v>
      </c>
      <c r="L235" t="s">
        <v>559</v>
      </c>
      <c r="M235" t="s">
        <v>100</v>
      </c>
      <c r="N235" t="s">
        <v>532</v>
      </c>
      <c r="O235" t="s">
        <v>100</v>
      </c>
      <c r="Q235" t="s">
        <v>532</v>
      </c>
      <c r="R235" t="s">
        <v>119</v>
      </c>
      <c r="S235" t="s">
        <v>130</v>
      </c>
      <c r="T235" t="s">
        <v>120</v>
      </c>
      <c r="U235" t="s">
        <v>101</v>
      </c>
      <c r="V235" t="s">
        <v>121</v>
      </c>
      <c r="W235" t="s">
        <v>122</v>
      </c>
      <c r="X235" t="s">
        <v>123</v>
      </c>
      <c r="Y235">
        <v>1</v>
      </c>
      <c r="Z235" t="s">
        <v>593</v>
      </c>
      <c r="AA235" s="280">
        <v>42270</v>
      </c>
      <c r="AB235" t="s">
        <v>114</v>
      </c>
      <c r="AC235" t="s">
        <v>124</v>
      </c>
      <c r="AD235" s="280">
        <v>44651</v>
      </c>
      <c r="AE235" t="s">
        <v>125</v>
      </c>
      <c r="AF235">
        <v>6</v>
      </c>
      <c r="AG235">
        <v>0</v>
      </c>
      <c r="AH235">
        <v>0</v>
      </c>
      <c r="AI235" t="s">
        <v>126</v>
      </c>
      <c r="AL235">
        <v>1</v>
      </c>
      <c r="AN235">
        <v>1</v>
      </c>
      <c r="AO235">
        <v>0</v>
      </c>
      <c r="AP235" t="s">
        <v>1050</v>
      </c>
      <c r="AR235" t="s">
        <v>127</v>
      </c>
      <c r="AS235">
        <v>2278.86</v>
      </c>
      <c r="AU235">
        <v>0</v>
      </c>
      <c r="AV235">
        <v>0</v>
      </c>
      <c r="AW235">
        <v>0</v>
      </c>
      <c r="AX235">
        <v>2278.86</v>
      </c>
      <c r="AY235">
        <v>126.60333333333347</v>
      </c>
      <c r="AZ235">
        <v>0</v>
      </c>
      <c r="BC235">
        <v>-2152.2566666666667</v>
      </c>
      <c r="BE235" t="s">
        <v>114</v>
      </c>
      <c r="BH235">
        <v>-126.60333333333347</v>
      </c>
      <c r="BI235">
        <v>-10.550277777777788</v>
      </c>
      <c r="BK235" t="s">
        <v>116</v>
      </c>
      <c r="BL235">
        <v>0</v>
      </c>
      <c r="BM235">
        <v>-2278.86</v>
      </c>
      <c r="BR235">
        <v>0</v>
      </c>
      <c r="BS235">
        <v>0</v>
      </c>
      <c r="BW235" t="s">
        <v>167</v>
      </c>
      <c r="BX235" t="s">
        <v>168</v>
      </c>
      <c r="BZ235" t="s">
        <v>940</v>
      </c>
    </row>
    <row r="236" spans="1:78">
      <c r="A236" t="s">
        <v>409</v>
      </c>
      <c r="B236" t="s">
        <v>890</v>
      </c>
      <c r="C236" t="s">
        <v>54</v>
      </c>
      <c r="D236" t="s">
        <v>1</v>
      </c>
      <c r="E236" t="s">
        <v>115</v>
      </c>
      <c r="F236" t="s">
        <v>99</v>
      </c>
      <c r="G236" t="s">
        <v>100</v>
      </c>
      <c r="H236" t="s">
        <v>128</v>
      </c>
      <c r="I236" t="s">
        <v>100</v>
      </c>
      <c r="J236" t="s">
        <v>101</v>
      </c>
      <c r="K236" t="s">
        <v>559</v>
      </c>
      <c r="L236" t="s">
        <v>559</v>
      </c>
      <c r="M236" t="s">
        <v>100</v>
      </c>
      <c r="N236" t="s">
        <v>532</v>
      </c>
      <c r="O236" t="s">
        <v>100</v>
      </c>
      <c r="Q236" t="s">
        <v>532</v>
      </c>
      <c r="R236" t="s">
        <v>119</v>
      </c>
      <c r="S236" t="s">
        <v>130</v>
      </c>
      <c r="T236" t="s">
        <v>120</v>
      </c>
      <c r="U236" t="s">
        <v>101</v>
      </c>
      <c r="V236" t="s">
        <v>121</v>
      </c>
      <c r="W236" t="s">
        <v>122</v>
      </c>
      <c r="X236" t="s">
        <v>123</v>
      </c>
      <c r="Y236">
        <v>1</v>
      </c>
      <c r="Z236" t="s">
        <v>593</v>
      </c>
      <c r="AA236" s="280">
        <v>42270</v>
      </c>
      <c r="AB236" t="s">
        <v>114</v>
      </c>
      <c r="AC236" t="s">
        <v>124</v>
      </c>
      <c r="AD236" s="280">
        <v>44651</v>
      </c>
      <c r="AE236" t="s">
        <v>125</v>
      </c>
      <c r="AF236">
        <v>6</v>
      </c>
      <c r="AG236">
        <v>0</v>
      </c>
      <c r="AH236">
        <v>0</v>
      </c>
      <c r="AI236" t="s">
        <v>126</v>
      </c>
      <c r="AL236">
        <v>1</v>
      </c>
      <c r="AN236">
        <v>1</v>
      </c>
      <c r="AO236">
        <v>0</v>
      </c>
      <c r="AP236" t="s">
        <v>1050</v>
      </c>
      <c r="AR236" t="s">
        <v>127</v>
      </c>
      <c r="AS236">
        <v>2278.86</v>
      </c>
      <c r="AU236">
        <v>0</v>
      </c>
      <c r="AV236">
        <v>0</v>
      </c>
      <c r="AW236">
        <v>0</v>
      </c>
      <c r="AX236">
        <v>2278.86</v>
      </c>
      <c r="AY236">
        <v>126.60333333333347</v>
      </c>
      <c r="AZ236">
        <v>0</v>
      </c>
      <c r="BC236">
        <v>-2152.2566666666667</v>
      </c>
      <c r="BE236" t="s">
        <v>114</v>
      </c>
      <c r="BH236">
        <v>-126.60333333333347</v>
      </c>
      <c r="BI236">
        <v>-10.550277777777788</v>
      </c>
      <c r="BK236" t="s">
        <v>116</v>
      </c>
      <c r="BL236">
        <v>0</v>
      </c>
      <c r="BM236">
        <v>-2278.86</v>
      </c>
      <c r="BR236">
        <v>0</v>
      </c>
      <c r="BS236">
        <v>0</v>
      </c>
      <c r="BW236" t="s">
        <v>167</v>
      </c>
      <c r="BX236" t="s">
        <v>168</v>
      </c>
      <c r="BZ236" t="s">
        <v>940</v>
      </c>
    </row>
    <row r="237" spans="1:78">
      <c r="A237" t="s">
        <v>410</v>
      </c>
      <c r="B237" t="s">
        <v>913</v>
      </c>
      <c r="C237" t="s">
        <v>54</v>
      </c>
      <c r="D237" t="s">
        <v>1</v>
      </c>
      <c r="E237" t="s">
        <v>115</v>
      </c>
      <c r="F237" t="s">
        <v>99</v>
      </c>
      <c r="G237" t="s">
        <v>100</v>
      </c>
      <c r="H237" t="s">
        <v>128</v>
      </c>
      <c r="I237" t="s">
        <v>100</v>
      </c>
      <c r="J237" t="s">
        <v>101</v>
      </c>
      <c r="K237" t="s">
        <v>559</v>
      </c>
      <c r="L237" t="s">
        <v>559</v>
      </c>
      <c r="M237" t="s">
        <v>100</v>
      </c>
      <c r="N237" t="s">
        <v>533</v>
      </c>
      <c r="O237" t="s">
        <v>100</v>
      </c>
      <c r="Q237" t="s">
        <v>533</v>
      </c>
      <c r="R237" t="s">
        <v>119</v>
      </c>
      <c r="S237" t="s">
        <v>130</v>
      </c>
      <c r="T237" t="s">
        <v>120</v>
      </c>
      <c r="U237" t="s">
        <v>101</v>
      </c>
      <c r="V237" t="s">
        <v>121</v>
      </c>
      <c r="W237" t="s">
        <v>122</v>
      </c>
      <c r="X237" t="s">
        <v>123</v>
      </c>
      <c r="Y237">
        <v>1</v>
      </c>
      <c r="Z237" t="s">
        <v>593</v>
      </c>
      <c r="AA237" s="280">
        <v>42270</v>
      </c>
      <c r="AB237" t="s">
        <v>114</v>
      </c>
      <c r="AC237" t="s">
        <v>124</v>
      </c>
      <c r="AD237" s="280">
        <v>44651</v>
      </c>
      <c r="AE237" t="s">
        <v>125</v>
      </c>
      <c r="AF237">
        <v>6</v>
      </c>
      <c r="AG237">
        <v>0</v>
      </c>
      <c r="AH237">
        <v>0</v>
      </c>
      <c r="AI237" t="s">
        <v>126</v>
      </c>
      <c r="AL237">
        <v>1</v>
      </c>
      <c r="AN237">
        <v>1</v>
      </c>
      <c r="AO237">
        <v>0</v>
      </c>
      <c r="AP237" t="s">
        <v>1050</v>
      </c>
      <c r="AR237" t="s">
        <v>127</v>
      </c>
      <c r="AS237">
        <v>2278.86</v>
      </c>
      <c r="AU237">
        <v>0</v>
      </c>
      <c r="AV237">
        <v>0</v>
      </c>
      <c r="AW237">
        <v>0</v>
      </c>
      <c r="AX237">
        <v>2278.86</v>
      </c>
      <c r="AY237">
        <v>126.60333333333347</v>
      </c>
      <c r="AZ237">
        <v>0</v>
      </c>
      <c r="BC237">
        <v>-2152.2566666666667</v>
      </c>
      <c r="BE237" t="s">
        <v>114</v>
      </c>
      <c r="BH237">
        <v>-126.60333333333347</v>
      </c>
      <c r="BI237">
        <v>-10.550277777777788</v>
      </c>
      <c r="BK237" t="s">
        <v>116</v>
      </c>
      <c r="BL237">
        <v>0</v>
      </c>
      <c r="BM237">
        <v>-2278.86</v>
      </c>
      <c r="BR237">
        <v>0</v>
      </c>
      <c r="BS237">
        <v>0</v>
      </c>
      <c r="BW237" t="s">
        <v>167</v>
      </c>
      <c r="BX237" t="s">
        <v>168</v>
      </c>
      <c r="BZ237" t="s">
        <v>940</v>
      </c>
    </row>
    <row r="238" spans="1:78">
      <c r="A238" t="s">
        <v>411</v>
      </c>
      <c r="B238" t="s">
        <v>858</v>
      </c>
      <c r="C238" t="s">
        <v>54</v>
      </c>
      <c r="D238" t="s">
        <v>1</v>
      </c>
      <c r="E238" t="s">
        <v>115</v>
      </c>
      <c r="F238" t="s">
        <v>99</v>
      </c>
      <c r="G238" t="s">
        <v>100</v>
      </c>
      <c r="H238" t="s">
        <v>128</v>
      </c>
      <c r="I238" t="s">
        <v>100</v>
      </c>
      <c r="J238" t="s">
        <v>101</v>
      </c>
      <c r="K238" t="s">
        <v>559</v>
      </c>
      <c r="L238" t="s">
        <v>559</v>
      </c>
      <c r="M238" t="s">
        <v>100</v>
      </c>
      <c r="N238" t="s">
        <v>534</v>
      </c>
      <c r="O238" t="s">
        <v>100</v>
      </c>
      <c r="Q238" t="s">
        <v>534</v>
      </c>
      <c r="R238" t="s">
        <v>119</v>
      </c>
      <c r="S238" t="s">
        <v>130</v>
      </c>
      <c r="T238" t="s">
        <v>120</v>
      </c>
      <c r="U238" t="s">
        <v>101</v>
      </c>
      <c r="V238" t="s">
        <v>121</v>
      </c>
      <c r="W238" t="s">
        <v>122</v>
      </c>
      <c r="X238" t="s">
        <v>123</v>
      </c>
      <c r="Y238">
        <v>1</v>
      </c>
      <c r="Z238" t="s">
        <v>594</v>
      </c>
      <c r="AA238" s="280">
        <v>42807</v>
      </c>
      <c r="AB238" t="s">
        <v>114</v>
      </c>
      <c r="AC238" t="s">
        <v>124</v>
      </c>
      <c r="AD238" s="280">
        <v>44651</v>
      </c>
      <c r="AE238" t="s">
        <v>125</v>
      </c>
      <c r="AF238">
        <v>6</v>
      </c>
      <c r="AG238">
        <v>0</v>
      </c>
      <c r="AH238">
        <v>0</v>
      </c>
      <c r="AI238" t="s">
        <v>126</v>
      </c>
      <c r="AL238">
        <v>1.6986301369863011</v>
      </c>
      <c r="AN238">
        <v>1.6986301369863011</v>
      </c>
      <c r="AO238">
        <v>0.69863013698630105</v>
      </c>
      <c r="AP238" t="s">
        <v>1050</v>
      </c>
      <c r="AR238" t="s">
        <v>127</v>
      </c>
      <c r="AS238">
        <v>8248.35</v>
      </c>
      <c r="AU238">
        <v>0</v>
      </c>
      <c r="AV238">
        <v>0</v>
      </c>
      <c r="AW238">
        <v>0</v>
      </c>
      <c r="AX238">
        <v>8248.35</v>
      </c>
      <c r="AY238">
        <v>149.82612972363222</v>
      </c>
      <c r="AZ238">
        <v>0</v>
      </c>
      <c r="BC238">
        <v>-8098.5238702763681</v>
      </c>
      <c r="BE238" t="s">
        <v>114</v>
      </c>
      <c r="BH238">
        <v>-88.204092498589958</v>
      </c>
      <c r="BI238">
        <v>-7.3503410415491635</v>
      </c>
      <c r="BK238" t="s">
        <v>116</v>
      </c>
      <c r="BL238">
        <v>0</v>
      </c>
      <c r="BM238">
        <v>-8186.7279627749585</v>
      </c>
      <c r="BR238">
        <v>0</v>
      </c>
      <c r="BS238">
        <v>61.622037225041822</v>
      </c>
      <c r="BW238" t="s">
        <v>167</v>
      </c>
      <c r="BX238" t="s">
        <v>168</v>
      </c>
      <c r="BZ238" t="s">
        <v>940</v>
      </c>
    </row>
    <row r="239" spans="1:78">
      <c r="A239" t="s">
        <v>412</v>
      </c>
      <c r="B239" t="s">
        <v>856</v>
      </c>
      <c r="C239" t="s">
        <v>54</v>
      </c>
      <c r="D239" t="s">
        <v>1</v>
      </c>
      <c r="E239" t="s">
        <v>115</v>
      </c>
      <c r="F239" t="s">
        <v>99</v>
      </c>
      <c r="G239" t="s">
        <v>100</v>
      </c>
      <c r="H239" t="s">
        <v>128</v>
      </c>
      <c r="I239" t="s">
        <v>100</v>
      </c>
      <c r="J239" t="s">
        <v>101</v>
      </c>
      <c r="K239" t="s">
        <v>559</v>
      </c>
      <c r="L239" t="s">
        <v>559</v>
      </c>
      <c r="M239" t="s">
        <v>100</v>
      </c>
      <c r="N239" t="s">
        <v>535</v>
      </c>
      <c r="O239" t="s">
        <v>100</v>
      </c>
      <c r="Q239" t="s">
        <v>535</v>
      </c>
      <c r="R239" t="s">
        <v>119</v>
      </c>
      <c r="S239" t="s">
        <v>130</v>
      </c>
      <c r="T239" t="s">
        <v>120</v>
      </c>
      <c r="U239" t="s">
        <v>101</v>
      </c>
      <c r="V239" t="s">
        <v>121</v>
      </c>
      <c r="W239" t="s">
        <v>122</v>
      </c>
      <c r="X239" t="s">
        <v>123</v>
      </c>
      <c r="Y239">
        <v>1</v>
      </c>
      <c r="Z239" t="s">
        <v>594</v>
      </c>
      <c r="AA239" s="280">
        <v>42807</v>
      </c>
      <c r="AB239" t="s">
        <v>114</v>
      </c>
      <c r="AC239" t="s">
        <v>124</v>
      </c>
      <c r="AD239" s="280">
        <v>44651</v>
      </c>
      <c r="AE239" t="s">
        <v>125</v>
      </c>
      <c r="AF239">
        <v>6</v>
      </c>
      <c r="AG239">
        <v>0</v>
      </c>
      <c r="AH239">
        <v>0</v>
      </c>
      <c r="AI239" t="s">
        <v>126</v>
      </c>
      <c r="AL239">
        <v>1.6986301369863011</v>
      </c>
      <c r="AN239">
        <v>1.6986301369863011</v>
      </c>
      <c r="AO239">
        <v>0.69863013698630105</v>
      </c>
      <c r="AP239" t="s">
        <v>1050</v>
      </c>
      <c r="AR239" t="s">
        <v>127</v>
      </c>
      <c r="AS239">
        <v>5078.62</v>
      </c>
      <c r="AU239">
        <v>0</v>
      </c>
      <c r="AV239">
        <v>0</v>
      </c>
      <c r="AW239">
        <v>0</v>
      </c>
      <c r="AX239">
        <v>5078.62</v>
      </c>
      <c r="AY239">
        <v>92.250265087422122</v>
      </c>
      <c r="AZ239">
        <v>0</v>
      </c>
      <c r="BC239">
        <v>-4986.3697349125778</v>
      </c>
      <c r="BE239" t="s">
        <v>114</v>
      </c>
      <c r="BH239">
        <v>-54.308623801466261</v>
      </c>
      <c r="BI239">
        <v>-4.5257186501221884</v>
      </c>
      <c r="BK239" t="s">
        <v>116</v>
      </c>
      <c r="BL239">
        <v>0</v>
      </c>
      <c r="BM239">
        <v>-5040.6783587140444</v>
      </c>
      <c r="BR239">
        <v>0</v>
      </c>
      <c r="BS239">
        <v>37.941641285955484</v>
      </c>
      <c r="BW239" t="s">
        <v>167</v>
      </c>
      <c r="BX239" t="s">
        <v>168</v>
      </c>
      <c r="BZ239" t="s">
        <v>940</v>
      </c>
    </row>
    <row r="240" spans="1:78">
      <c r="A240" t="s">
        <v>413</v>
      </c>
      <c r="B240">
        <v>0</v>
      </c>
      <c r="C240" t="s">
        <v>54</v>
      </c>
      <c r="D240" t="s">
        <v>1</v>
      </c>
      <c r="E240" t="s">
        <v>115</v>
      </c>
      <c r="F240" t="s">
        <v>99</v>
      </c>
      <c r="G240" t="s">
        <v>100</v>
      </c>
      <c r="H240" t="s">
        <v>128</v>
      </c>
      <c r="I240" t="s">
        <v>100</v>
      </c>
      <c r="J240" t="s">
        <v>101</v>
      </c>
      <c r="K240" t="s">
        <v>559</v>
      </c>
      <c r="L240" t="s">
        <v>559</v>
      </c>
      <c r="M240" t="s">
        <v>100</v>
      </c>
      <c r="N240" t="s">
        <v>536</v>
      </c>
      <c r="O240" t="s">
        <v>100</v>
      </c>
      <c r="Q240" t="s">
        <v>536</v>
      </c>
      <c r="R240" t="s">
        <v>119</v>
      </c>
      <c r="S240" t="s">
        <v>130</v>
      </c>
      <c r="T240" t="s">
        <v>120</v>
      </c>
      <c r="U240" t="s">
        <v>101</v>
      </c>
      <c r="V240" t="s">
        <v>121</v>
      </c>
      <c r="W240" t="s">
        <v>122</v>
      </c>
      <c r="X240" t="s">
        <v>123</v>
      </c>
      <c r="Y240">
        <v>1</v>
      </c>
      <c r="Z240" t="s">
        <v>594</v>
      </c>
      <c r="AA240" s="280">
        <v>42807</v>
      </c>
      <c r="AB240" t="s">
        <v>114</v>
      </c>
      <c r="AC240" t="s">
        <v>124</v>
      </c>
      <c r="AD240" s="280">
        <v>44651</v>
      </c>
      <c r="AE240" t="s">
        <v>125</v>
      </c>
      <c r="AF240">
        <v>6</v>
      </c>
      <c r="AG240">
        <v>0</v>
      </c>
      <c r="AH240">
        <v>0</v>
      </c>
      <c r="AI240" t="s">
        <v>126</v>
      </c>
      <c r="AL240">
        <v>1.6986301369863011</v>
      </c>
      <c r="AN240">
        <v>1.6986301369863011</v>
      </c>
      <c r="AO240">
        <v>0.69863013698630105</v>
      </c>
      <c r="AP240">
        <v>0</v>
      </c>
      <c r="AR240" t="s">
        <v>127</v>
      </c>
      <c r="AS240">
        <v>4519.99</v>
      </c>
      <c r="AU240">
        <v>0</v>
      </c>
      <c r="AV240">
        <v>0</v>
      </c>
      <c r="AW240">
        <v>0</v>
      </c>
      <c r="AX240">
        <v>4519.99</v>
      </c>
      <c r="AY240">
        <v>82.102617033277056</v>
      </c>
      <c r="AZ240">
        <v>0</v>
      </c>
      <c r="BC240">
        <v>-4437.8873829667227</v>
      </c>
      <c r="BE240" t="s">
        <v>114</v>
      </c>
      <c r="BH240">
        <v>-48.334605188945375</v>
      </c>
      <c r="BI240">
        <v>-4.0278837657454476</v>
      </c>
      <c r="BK240" t="s">
        <v>116</v>
      </c>
      <c r="BL240">
        <v>0</v>
      </c>
      <c r="BM240">
        <v>-4486.2219881556684</v>
      </c>
      <c r="BR240">
        <v>0</v>
      </c>
      <c r="BS240">
        <v>33.76801184433134</v>
      </c>
      <c r="BW240" t="s">
        <v>167</v>
      </c>
      <c r="BX240" t="s">
        <v>168</v>
      </c>
      <c r="BZ240">
        <v>0</v>
      </c>
    </row>
    <row r="241" spans="1:78">
      <c r="A241" t="s">
        <v>414</v>
      </c>
      <c r="B241" t="s">
        <v>863</v>
      </c>
      <c r="C241" t="s">
        <v>54</v>
      </c>
      <c r="D241" t="s">
        <v>1</v>
      </c>
      <c r="E241" t="s">
        <v>115</v>
      </c>
      <c r="F241" t="s">
        <v>99</v>
      </c>
      <c r="G241" t="s">
        <v>100</v>
      </c>
      <c r="H241" t="s">
        <v>128</v>
      </c>
      <c r="I241" t="s">
        <v>100</v>
      </c>
      <c r="J241" t="s">
        <v>101</v>
      </c>
      <c r="K241" t="s">
        <v>559</v>
      </c>
      <c r="L241" t="s">
        <v>559</v>
      </c>
      <c r="M241" t="s">
        <v>100</v>
      </c>
      <c r="N241" t="s">
        <v>537</v>
      </c>
      <c r="O241" t="s">
        <v>100</v>
      </c>
      <c r="Q241" t="s">
        <v>537</v>
      </c>
      <c r="R241" t="s">
        <v>119</v>
      </c>
      <c r="S241" t="s">
        <v>130</v>
      </c>
      <c r="T241" t="s">
        <v>120</v>
      </c>
      <c r="U241" t="s">
        <v>101</v>
      </c>
      <c r="V241" t="s">
        <v>121</v>
      </c>
      <c r="W241" t="s">
        <v>122</v>
      </c>
      <c r="X241" t="s">
        <v>123</v>
      </c>
      <c r="Y241">
        <v>1</v>
      </c>
      <c r="Z241" t="s">
        <v>594</v>
      </c>
      <c r="AA241" s="280">
        <v>42807</v>
      </c>
      <c r="AB241" t="s">
        <v>114</v>
      </c>
      <c r="AC241" t="s">
        <v>124</v>
      </c>
      <c r="AD241" s="280">
        <v>44651</v>
      </c>
      <c r="AE241" t="s">
        <v>125</v>
      </c>
      <c r="AF241">
        <v>6</v>
      </c>
      <c r="AG241">
        <v>0</v>
      </c>
      <c r="AH241">
        <v>0</v>
      </c>
      <c r="AI241" t="s">
        <v>126</v>
      </c>
      <c r="AL241">
        <v>1.6986301369863011</v>
      </c>
      <c r="AN241">
        <v>1.6986301369863011</v>
      </c>
      <c r="AO241">
        <v>0.69863013698630105</v>
      </c>
      <c r="AP241" t="s">
        <v>1050</v>
      </c>
      <c r="AR241" t="s">
        <v>127</v>
      </c>
      <c r="AS241">
        <v>8095.26</v>
      </c>
      <c r="AU241">
        <v>0</v>
      </c>
      <c r="AV241">
        <v>0</v>
      </c>
      <c r="AW241">
        <v>0</v>
      </c>
      <c r="AX241">
        <v>8095.26</v>
      </c>
      <c r="AY241">
        <v>147.04637563451797</v>
      </c>
      <c r="AZ241">
        <v>0</v>
      </c>
      <c r="BC241">
        <v>-7948.2136243654822</v>
      </c>
      <c r="BE241" t="s">
        <v>114</v>
      </c>
      <c r="BH241">
        <v>-86.567624365482374</v>
      </c>
      <c r="BI241">
        <v>-7.2139686971235308</v>
      </c>
      <c r="BK241" t="s">
        <v>116</v>
      </c>
      <c r="BL241">
        <v>0</v>
      </c>
      <c r="BM241">
        <v>-8034.7812487309648</v>
      </c>
      <c r="BR241">
        <v>0</v>
      </c>
      <c r="BS241">
        <v>60.478751269035456</v>
      </c>
      <c r="BW241" t="s">
        <v>167</v>
      </c>
      <c r="BX241" t="s">
        <v>168</v>
      </c>
      <c r="BZ241" t="s">
        <v>947</v>
      </c>
    </row>
    <row r="242" spans="1:78">
      <c r="A242" t="s">
        <v>415</v>
      </c>
      <c r="B242" t="s">
        <v>914</v>
      </c>
      <c r="C242" t="s">
        <v>54</v>
      </c>
      <c r="D242" t="s">
        <v>1</v>
      </c>
      <c r="E242" t="s">
        <v>115</v>
      </c>
      <c r="F242" t="s">
        <v>99</v>
      </c>
      <c r="G242" t="s">
        <v>100</v>
      </c>
      <c r="H242" t="s">
        <v>128</v>
      </c>
      <c r="I242" t="s">
        <v>100</v>
      </c>
      <c r="J242" t="s">
        <v>101</v>
      </c>
      <c r="K242" t="s">
        <v>559</v>
      </c>
      <c r="L242" t="s">
        <v>559</v>
      </c>
      <c r="M242" t="s">
        <v>100</v>
      </c>
      <c r="N242" t="s">
        <v>538</v>
      </c>
      <c r="O242" t="s">
        <v>100</v>
      </c>
      <c r="Q242" t="s">
        <v>538</v>
      </c>
      <c r="R242" t="s">
        <v>119</v>
      </c>
      <c r="S242" t="s">
        <v>130</v>
      </c>
      <c r="T242" t="s">
        <v>120</v>
      </c>
      <c r="U242" t="s">
        <v>101</v>
      </c>
      <c r="V242" t="s">
        <v>121</v>
      </c>
      <c r="W242" t="s">
        <v>122</v>
      </c>
      <c r="X242" t="s">
        <v>123</v>
      </c>
      <c r="Y242">
        <v>1</v>
      </c>
      <c r="Z242" t="s">
        <v>594</v>
      </c>
      <c r="AA242" s="280">
        <v>42807</v>
      </c>
      <c r="AB242" t="s">
        <v>114</v>
      </c>
      <c r="AC242" t="s">
        <v>124</v>
      </c>
      <c r="AD242" s="280">
        <v>44651</v>
      </c>
      <c r="AE242" t="s">
        <v>125</v>
      </c>
      <c r="AF242">
        <v>6</v>
      </c>
      <c r="AG242">
        <v>0</v>
      </c>
      <c r="AH242">
        <v>0</v>
      </c>
      <c r="AI242" t="s">
        <v>126</v>
      </c>
      <c r="AL242">
        <v>1.6986301369863011</v>
      </c>
      <c r="AN242">
        <v>1.6986301369863011</v>
      </c>
      <c r="AO242">
        <v>0.69863013698630105</v>
      </c>
      <c r="AP242" t="s">
        <v>1050</v>
      </c>
      <c r="AR242" t="s">
        <v>127</v>
      </c>
      <c r="AS242">
        <v>8095.26</v>
      </c>
      <c r="AU242">
        <v>0</v>
      </c>
      <c r="AV242">
        <v>0</v>
      </c>
      <c r="AW242">
        <v>0</v>
      </c>
      <c r="AX242">
        <v>8095.26</v>
      </c>
      <c r="AY242">
        <v>147.04637563451797</v>
      </c>
      <c r="AZ242">
        <v>0</v>
      </c>
      <c r="BC242">
        <v>-7948.2136243654822</v>
      </c>
      <c r="BE242" t="s">
        <v>114</v>
      </c>
      <c r="BH242">
        <v>-86.567624365482374</v>
      </c>
      <c r="BI242">
        <v>-7.2139686971235308</v>
      </c>
      <c r="BK242" t="s">
        <v>116</v>
      </c>
      <c r="BL242">
        <v>0</v>
      </c>
      <c r="BM242">
        <v>-8034.7812487309648</v>
      </c>
      <c r="BR242">
        <v>0</v>
      </c>
      <c r="BS242">
        <v>60.478751269035456</v>
      </c>
      <c r="BW242" t="s">
        <v>167</v>
      </c>
      <c r="BX242" t="s">
        <v>168</v>
      </c>
      <c r="BZ242" t="s">
        <v>938</v>
      </c>
    </row>
    <row r="243" spans="1:78">
      <c r="A243" t="s">
        <v>416</v>
      </c>
      <c r="B243" t="s">
        <v>863</v>
      </c>
      <c r="C243" t="s">
        <v>54</v>
      </c>
      <c r="D243" t="s">
        <v>1</v>
      </c>
      <c r="E243" t="s">
        <v>115</v>
      </c>
      <c r="F243" t="s">
        <v>99</v>
      </c>
      <c r="G243" t="s">
        <v>100</v>
      </c>
      <c r="H243" t="s">
        <v>128</v>
      </c>
      <c r="I243" t="s">
        <v>100</v>
      </c>
      <c r="J243" t="s">
        <v>101</v>
      </c>
      <c r="K243" t="s">
        <v>559</v>
      </c>
      <c r="L243" t="s">
        <v>559</v>
      </c>
      <c r="M243" t="s">
        <v>100</v>
      </c>
      <c r="N243" t="s">
        <v>538</v>
      </c>
      <c r="O243" t="s">
        <v>100</v>
      </c>
      <c r="Q243" t="s">
        <v>538</v>
      </c>
      <c r="R243" t="s">
        <v>119</v>
      </c>
      <c r="S243" t="s">
        <v>130</v>
      </c>
      <c r="T243" t="s">
        <v>120</v>
      </c>
      <c r="U243" t="s">
        <v>101</v>
      </c>
      <c r="V243" t="s">
        <v>121</v>
      </c>
      <c r="W243" t="s">
        <v>122</v>
      </c>
      <c r="X243" t="s">
        <v>123</v>
      </c>
      <c r="Y243">
        <v>1</v>
      </c>
      <c r="Z243" t="s">
        <v>594</v>
      </c>
      <c r="AA243" s="280">
        <v>42807</v>
      </c>
      <c r="AB243" t="s">
        <v>114</v>
      </c>
      <c r="AC243" t="s">
        <v>124</v>
      </c>
      <c r="AD243" s="280">
        <v>44651</v>
      </c>
      <c r="AE243" t="s">
        <v>125</v>
      </c>
      <c r="AF243">
        <v>6</v>
      </c>
      <c r="AG243">
        <v>0</v>
      </c>
      <c r="AH243">
        <v>0</v>
      </c>
      <c r="AI243" t="s">
        <v>126</v>
      </c>
      <c r="AL243">
        <v>1.6986301369863011</v>
      </c>
      <c r="AN243">
        <v>1.6986301369863011</v>
      </c>
      <c r="AO243">
        <v>0.69863013698630105</v>
      </c>
      <c r="AP243" t="s">
        <v>1050</v>
      </c>
      <c r="AR243" t="s">
        <v>127</v>
      </c>
      <c r="AS243">
        <v>8095.26</v>
      </c>
      <c r="AU243">
        <v>0</v>
      </c>
      <c r="AV243">
        <v>0</v>
      </c>
      <c r="AW243">
        <v>0</v>
      </c>
      <c r="AX243">
        <v>8095.26</v>
      </c>
      <c r="AY243">
        <v>147.04637563451797</v>
      </c>
      <c r="AZ243">
        <v>0</v>
      </c>
      <c r="BC243">
        <v>-7948.2136243654822</v>
      </c>
      <c r="BE243" t="s">
        <v>114</v>
      </c>
      <c r="BH243">
        <v>-86.567624365482374</v>
      </c>
      <c r="BI243">
        <v>-7.2139686971235308</v>
      </c>
      <c r="BK243" t="s">
        <v>116</v>
      </c>
      <c r="BL243">
        <v>0</v>
      </c>
      <c r="BM243">
        <v>-8034.7812487309648</v>
      </c>
      <c r="BR243">
        <v>0</v>
      </c>
      <c r="BS243">
        <v>60.478751269035456</v>
      </c>
      <c r="BW243" t="s">
        <v>167</v>
      </c>
      <c r="BX243" t="s">
        <v>168</v>
      </c>
      <c r="BZ243" t="s">
        <v>947</v>
      </c>
    </row>
    <row r="244" spans="1:78">
      <c r="A244" t="s">
        <v>417</v>
      </c>
      <c r="B244" t="s">
        <v>859</v>
      </c>
      <c r="C244" t="s">
        <v>54</v>
      </c>
      <c r="D244" t="s">
        <v>1</v>
      </c>
      <c r="E244" t="s">
        <v>115</v>
      </c>
      <c r="F244" t="s">
        <v>99</v>
      </c>
      <c r="G244" t="s">
        <v>100</v>
      </c>
      <c r="H244" t="s">
        <v>128</v>
      </c>
      <c r="I244" t="s">
        <v>100</v>
      </c>
      <c r="J244" t="s">
        <v>101</v>
      </c>
      <c r="K244" t="s">
        <v>559</v>
      </c>
      <c r="L244" t="s">
        <v>559</v>
      </c>
      <c r="M244" t="s">
        <v>100</v>
      </c>
      <c r="N244" t="s">
        <v>538</v>
      </c>
      <c r="O244" t="s">
        <v>100</v>
      </c>
      <c r="Q244" t="s">
        <v>538</v>
      </c>
      <c r="R244" t="s">
        <v>119</v>
      </c>
      <c r="S244" t="s">
        <v>130</v>
      </c>
      <c r="T244" t="s">
        <v>120</v>
      </c>
      <c r="U244" t="s">
        <v>101</v>
      </c>
      <c r="V244" t="s">
        <v>121</v>
      </c>
      <c r="W244" t="s">
        <v>122</v>
      </c>
      <c r="X244" t="s">
        <v>123</v>
      </c>
      <c r="Y244">
        <v>1</v>
      </c>
      <c r="Z244" t="s">
        <v>594</v>
      </c>
      <c r="AA244" s="280">
        <v>42807</v>
      </c>
      <c r="AB244" t="s">
        <v>114</v>
      </c>
      <c r="AC244" t="s">
        <v>124</v>
      </c>
      <c r="AD244" s="280">
        <v>44651</v>
      </c>
      <c r="AE244" t="s">
        <v>125</v>
      </c>
      <c r="AF244">
        <v>6</v>
      </c>
      <c r="AG244">
        <v>0</v>
      </c>
      <c r="AH244">
        <v>0</v>
      </c>
      <c r="AI244" t="s">
        <v>126</v>
      </c>
      <c r="AL244">
        <v>1.6986301369863011</v>
      </c>
      <c r="AN244">
        <v>1.6986301369863011</v>
      </c>
      <c r="AO244">
        <v>0.69863013698630105</v>
      </c>
      <c r="AP244" t="s">
        <v>1050</v>
      </c>
      <c r="AR244" t="s">
        <v>127</v>
      </c>
      <c r="AS244">
        <v>8095.26</v>
      </c>
      <c r="AU244">
        <v>0</v>
      </c>
      <c r="AV244">
        <v>0</v>
      </c>
      <c r="AW244">
        <v>0</v>
      </c>
      <c r="AX244">
        <v>8095.26</v>
      </c>
      <c r="AY244">
        <v>147.04637563451797</v>
      </c>
      <c r="AZ244">
        <v>0</v>
      </c>
      <c r="BC244">
        <v>-7948.2136243654822</v>
      </c>
      <c r="BE244" t="s">
        <v>114</v>
      </c>
      <c r="BH244">
        <v>-86.567624365482374</v>
      </c>
      <c r="BI244">
        <v>-7.2139686971235308</v>
      </c>
      <c r="BK244" t="s">
        <v>116</v>
      </c>
      <c r="BL244">
        <v>0</v>
      </c>
      <c r="BM244">
        <v>-8034.7812487309648</v>
      </c>
      <c r="BR244">
        <v>0</v>
      </c>
      <c r="BS244">
        <v>60.478751269035456</v>
      </c>
      <c r="BW244" t="s">
        <v>167</v>
      </c>
      <c r="BX244" t="s">
        <v>168</v>
      </c>
      <c r="BZ244" t="s">
        <v>938</v>
      </c>
    </row>
    <row r="245" spans="1:78">
      <c r="A245" t="s">
        <v>418</v>
      </c>
      <c r="B245" t="s">
        <v>866</v>
      </c>
      <c r="C245" t="s">
        <v>54</v>
      </c>
      <c r="D245" t="s">
        <v>1</v>
      </c>
      <c r="E245" t="s">
        <v>115</v>
      </c>
      <c r="F245" t="s">
        <v>99</v>
      </c>
      <c r="G245" t="s">
        <v>100</v>
      </c>
      <c r="H245" t="s">
        <v>128</v>
      </c>
      <c r="I245" t="s">
        <v>100</v>
      </c>
      <c r="J245" t="s">
        <v>101</v>
      </c>
      <c r="K245" t="s">
        <v>559</v>
      </c>
      <c r="L245" t="s">
        <v>559</v>
      </c>
      <c r="M245" t="s">
        <v>100</v>
      </c>
      <c r="N245" t="s">
        <v>539</v>
      </c>
      <c r="O245" t="s">
        <v>100</v>
      </c>
      <c r="Q245" t="s">
        <v>539</v>
      </c>
      <c r="R245" t="s">
        <v>119</v>
      </c>
      <c r="S245" t="s">
        <v>130</v>
      </c>
      <c r="T245" t="s">
        <v>120</v>
      </c>
      <c r="U245" t="s">
        <v>101</v>
      </c>
      <c r="V245" t="s">
        <v>121</v>
      </c>
      <c r="W245" t="s">
        <v>122</v>
      </c>
      <c r="X245" t="s">
        <v>123</v>
      </c>
      <c r="Y245">
        <v>1</v>
      </c>
      <c r="Z245" t="s">
        <v>594</v>
      </c>
      <c r="AA245" s="280">
        <v>42807</v>
      </c>
      <c r="AB245" t="s">
        <v>114</v>
      </c>
      <c r="AC245" t="s">
        <v>124</v>
      </c>
      <c r="AD245" s="280">
        <v>44651</v>
      </c>
      <c r="AE245" t="s">
        <v>125</v>
      </c>
      <c r="AF245">
        <v>6</v>
      </c>
      <c r="AG245">
        <v>0</v>
      </c>
      <c r="AH245">
        <v>0</v>
      </c>
      <c r="AI245" t="s">
        <v>126</v>
      </c>
      <c r="AL245">
        <v>1.6986301369863011</v>
      </c>
      <c r="AN245">
        <v>1.6986301369863011</v>
      </c>
      <c r="AO245">
        <v>0.69863013698630105</v>
      </c>
      <c r="AP245" t="s">
        <v>1050</v>
      </c>
      <c r="AR245" t="s">
        <v>127</v>
      </c>
      <c r="AS245">
        <v>6975.22</v>
      </c>
      <c r="AU245">
        <v>0</v>
      </c>
      <c r="AV245">
        <v>0</v>
      </c>
      <c r="AW245">
        <v>0</v>
      </c>
      <c r="AX245">
        <v>6975.22</v>
      </c>
      <c r="AY245">
        <v>126.70114382402699</v>
      </c>
      <c r="AZ245">
        <v>0</v>
      </c>
      <c r="BC245">
        <v>-6848.5188561759733</v>
      </c>
      <c r="BE245" t="s">
        <v>114</v>
      </c>
      <c r="BH245">
        <v>-74.590189509306228</v>
      </c>
      <c r="BI245">
        <v>-6.2158491257755193</v>
      </c>
      <c r="BK245" t="s">
        <v>116</v>
      </c>
      <c r="BL245">
        <v>0</v>
      </c>
      <c r="BM245">
        <v>-6923.1090456852799</v>
      </c>
      <c r="BR245">
        <v>0</v>
      </c>
      <c r="BS245">
        <v>52.110954314720402</v>
      </c>
      <c r="BW245" t="s">
        <v>167</v>
      </c>
      <c r="BX245" t="s">
        <v>168</v>
      </c>
      <c r="BZ245" t="s">
        <v>983</v>
      </c>
    </row>
    <row r="246" spans="1:78">
      <c r="A246" t="s">
        <v>419</v>
      </c>
      <c r="B246" t="s">
        <v>915</v>
      </c>
      <c r="C246" t="s">
        <v>54</v>
      </c>
      <c r="D246" t="s">
        <v>1</v>
      </c>
      <c r="E246" t="s">
        <v>115</v>
      </c>
      <c r="F246" t="s">
        <v>99</v>
      </c>
      <c r="G246" t="s">
        <v>100</v>
      </c>
      <c r="H246" t="s">
        <v>128</v>
      </c>
      <c r="I246" t="s">
        <v>100</v>
      </c>
      <c r="J246" t="s">
        <v>101</v>
      </c>
      <c r="K246" t="s">
        <v>559</v>
      </c>
      <c r="L246" t="s">
        <v>559</v>
      </c>
      <c r="M246" t="s">
        <v>100</v>
      </c>
      <c r="N246" t="s">
        <v>539</v>
      </c>
      <c r="O246" t="s">
        <v>100</v>
      </c>
      <c r="Q246" t="s">
        <v>539</v>
      </c>
      <c r="R246" t="s">
        <v>119</v>
      </c>
      <c r="S246" t="s">
        <v>130</v>
      </c>
      <c r="T246" t="s">
        <v>120</v>
      </c>
      <c r="U246" t="s">
        <v>101</v>
      </c>
      <c r="V246" t="s">
        <v>121</v>
      </c>
      <c r="W246" t="s">
        <v>122</v>
      </c>
      <c r="X246" t="s">
        <v>123</v>
      </c>
      <c r="Y246">
        <v>1</v>
      </c>
      <c r="Z246" t="s">
        <v>594</v>
      </c>
      <c r="AA246" s="280">
        <v>42807</v>
      </c>
      <c r="AB246" t="s">
        <v>114</v>
      </c>
      <c r="AC246" t="s">
        <v>124</v>
      </c>
      <c r="AD246" s="280">
        <v>44651</v>
      </c>
      <c r="AE246" t="s">
        <v>125</v>
      </c>
      <c r="AF246">
        <v>6</v>
      </c>
      <c r="AG246">
        <v>0</v>
      </c>
      <c r="AH246">
        <v>0</v>
      </c>
      <c r="AI246" t="s">
        <v>126</v>
      </c>
      <c r="AL246">
        <v>1.6986301369863011</v>
      </c>
      <c r="AN246">
        <v>1.6986301369863011</v>
      </c>
      <c r="AO246">
        <v>0.69863013698630105</v>
      </c>
      <c r="AP246" t="s">
        <v>1050</v>
      </c>
      <c r="AR246" t="s">
        <v>127</v>
      </c>
      <c r="AS246">
        <v>6975.22</v>
      </c>
      <c r="AU246">
        <v>0</v>
      </c>
      <c r="AV246">
        <v>0</v>
      </c>
      <c r="AW246">
        <v>0</v>
      </c>
      <c r="AX246">
        <v>6975.22</v>
      </c>
      <c r="AY246">
        <v>126.70114382402699</v>
      </c>
      <c r="AZ246">
        <v>0</v>
      </c>
      <c r="BC246">
        <v>-6848.5188561759733</v>
      </c>
      <c r="BE246" t="s">
        <v>114</v>
      </c>
      <c r="BH246">
        <v>-74.590189509306228</v>
      </c>
      <c r="BI246">
        <v>-6.2158491257755193</v>
      </c>
      <c r="BK246" t="s">
        <v>116</v>
      </c>
      <c r="BL246">
        <v>0</v>
      </c>
      <c r="BM246">
        <v>-6923.1090456852799</v>
      </c>
      <c r="BR246">
        <v>0</v>
      </c>
      <c r="BS246">
        <v>52.110954314720402</v>
      </c>
      <c r="BW246" t="s">
        <v>167</v>
      </c>
      <c r="BX246" t="s">
        <v>168</v>
      </c>
      <c r="BZ246" t="s">
        <v>1014</v>
      </c>
    </row>
    <row r="247" spans="1:78">
      <c r="A247" t="s">
        <v>420</v>
      </c>
      <c r="B247" t="s">
        <v>915</v>
      </c>
      <c r="C247" t="s">
        <v>54</v>
      </c>
      <c r="D247" t="s">
        <v>1</v>
      </c>
      <c r="E247" t="s">
        <v>115</v>
      </c>
      <c r="F247" t="s">
        <v>99</v>
      </c>
      <c r="G247" t="s">
        <v>100</v>
      </c>
      <c r="H247" t="s">
        <v>128</v>
      </c>
      <c r="I247" t="s">
        <v>100</v>
      </c>
      <c r="J247" t="s">
        <v>101</v>
      </c>
      <c r="K247" t="s">
        <v>559</v>
      </c>
      <c r="L247" t="s">
        <v>559</v>
      </c>
      <c r="M247" t="s">
        <v>100</v>
      </c>
      <c r="N247" t="s">
        <v>539</v>
      </c>
      <c r="O247" t="s">
        <v>100</v>
      </c>
      <c r="Q247" t="s">
        <v>539</v>
      </c>
      <c r="R247" t="s">
        <v>119</v>
      </c>
      <c r="S247" t="s">
        <v>130</v>
      </c>
      <c r="T247" t="s">
        <v>120</v>
      </c>
      <c r="U247" t="s">
        <v>101</v>
      </c>
      <c r="V247" t="s">
        <v>121</v>
      </c>
      <c r="W247" t="s">
        <v>122</v>
      </c>
      <c r="X247" t="s">
        <v>123</v>
      </c>
      <c r="Y247">
        <v>1</v>
      </c>
      <c r="Z247" t="s">
        <v>594</v>
      </c>
      <c r="AA247" s="280">
        <v>42807</v>
      </c>
      <c r="AB247" t="s">
        <v>114</v>
      </c>
      <c r="AC247" t="s">
        <v>124</v>
      </c>
      <c r="AD247" s="280">
        <v>44651</v>
      </c>
      <c r="AE247" t="s">
        <v>125</v>
      </c>
      <c r="AF247">
        <v>6</v>
      </c>
      <c r="AG247">
        <v>0</v>
      </c>
      <c r="AH247">
        <v>0</v>
      </c>
      <c r="AI247" t="s">
        <v>126</v>
      </c>
      <c r="AL247">
        <v>1.6986301369863011</v>
      </c>
      <c r="AN247">
        <v>1.6986301369863011</v>
      </c>
      <c r="AO247">
        <v>0.69863013698630105</v>
      </c>
      <c r="AP247" t="s">
        <v>1050</v>
      </c>
      <c r="AR247" t="s">
        <v>127</v>
      </c>
      <c r="AS247">
        <v>6975.22</v>
      </c>
      <c r="AU247">
        <v>0</v>
      </c>
      <c r="AV247">
        <v>0</v>
      </c>
      <c r="AW247">
        <v>0</v>
      </c>
      <c r="AX247">
        <v>6975.22</v>
      </c>
      <c r="AY247">
        <v>126.70114382402699</v>
      </c>
      <c r="AZ247">
        <v>0</v>
      </c>
      <c r="BC247">
        <v>-6848.5188561759733</v>
      </c>
      <c r="BE247" t="s">
        <v>114</v>
      </c>
      <c r="BH247">
        <v>-74.590189509306228</v>
      </c>
      <c r="BI247">
        <v>-6.2158491257755193</v>
      </c>
      <c r="BK247" t="s">
        <v>116</v>
      </c>
      <c r="BL247">
        <v>0</v>
      </c>
      <c r="BM247">
        <v>-6923.1090456852799</v>
      </c>
      <c r="BR247">
        <v>0</v>
      </c>
      <c r="BS247">
        <v>52.110954314720402</v>
      </c>
      <c r="BW247" t="s">
        <v>167</v>
      </c>
      <c r="BX247" t="s">
        <v>168</v>
      </c>
      <c r="BZ247" t="s">
        <v>1014</v>
      </c>
    </row>
    <row r="248" spans="1:78">
      <c r="A248" t="s">
        <v>421</v>
      </c>
      <c r="B248" t="s">
        <v>859</v>
      </c>
      <c r="C248" t="s">
        <v>54</v>
      </c>
      <c r="D248" t="s">
        <v>1</v>
      </c>
      <c r="E248" t="s">
        <v>115</v>
      </c>
      <c r="F248" t="s">
        <v>99</v>
      </c>
      <c r="G248" t="s">
        <v>100</v>
      </c>
      <c r="H248" t="s">
        <v>128</v>
      </c>
      <c r="I248" t="s">
        <v>100</v>
      </c>
      <c r="J248" t="s">
        <v>101</v>
      </c>
      <c r="K248" t="s">
        <v>559</v>
      </c>
      <c r="L248" t="s">
        <v>559</v>
      </c>
      <c r="M248" t="s">
        <v>100</v>
      </c>
      <c r="N248" t="s">
        <v>539</v>
      </c>
      <c r="O248" t="s">
        <v>100</v>
      </c>
      <c r="Q248" t="s">
        <v>539</v>
      </c>
      <c r="R248" t="s">
        <v>119</v>
      </c>
      <c r="S248" t="s">
        <v>130</v>
      </c>
      <c r="T248" t="s">
        <v>120</v>
      </c>
      <c r="U248" t="s">
        <v>101</v>
      </c>
      <c r="V248" t="s">
        <v>121</v>
      </c>
      <c r="W248" t="s">
        <v>122</v>
      </c>
      <c r="X248" t="s">
        <v>123</v>
      </c>
      <c r="Y248">
        <v>1</v>
      </c>
      <c r="Z248" t="s">
        <v>594</v>
      </c>
      <c r="AA248" s="280">
        <v>42807</v>
      </c>
      <c r="AB248" t="s">
        <v>114</v>
      </c>
      <c r="AC248" t="s">
        <v>124</v>
      </c>
      <c r="AD248" s="280">
        <v>44651</v>
      </c>
      <c r="AE248" t="s">
        <v>125</v>
      </c>
      <c r="AF248">
        <v>6</v>
      </c>
      <c r="AG248">
        <v>0</v>
      </c>
      <c r="AH248">
        <v>0</v>
      </c>
      <c r="AI248" t="s">
        <v>126</v>
      </c>
      <c r="AL248">
        <v>1.6986301369863011</v>
      </c>
      <c r="AN248">
        <v>1.6986301369863011</v>
      </c>
      <c r="AO248">
        <v>0.69863013698630105</v>
      </c>
      <c r="AP248" t="s">
        <v>1050</v>
      </c>
      <c r="AR248" t="s">
        <v>127</v>
      </c>
      <c r="AS248">
        <v>6975.22</v>
      </c>
      <c r="AU248">
        <v>0</v>
      </c>
      <c r="AV248">
        <v>0</v>
      </c>
      <c r="AW248">
        <v>0</v>
      </c>
      <c r="AX248">
        <v>6975.22</v>
      </c>
      <c r="AY248">
        <v>126.70114382402699</v>
      </c>
      <c r="AZ248">
        <v>0</v>
      </c>
      <c r="BC248">
        <v>-6848.5188561759733</v>
      </c>
      <c r="BE248" t="s">
        <v>114</v>
      </c>
      <c r="BH248">
        <v>-74.590189509306228</v>
      </c>
      <c r="BI248">
        <v>-6.2158491257755193</v>
      </c>
      <c r="BK248" t="s">
        <v>116</v>
      </c>
      <c r="BL248">
        <v>0</v>
      </c>
      <c r="BM248">
        <v>-6923.1090456852799</v>
      </c>
      <c r="BR248">
        <v>0</v>
      </c>
      <c r="BS248">
        <v>52.110954314720402</v>
      </c>
      <c r="BW248" t="s">
        <v>167</v>
      </c>
      <c r="BX248" t="s">
        <v>168</v>
      </c>
      <c r="BZ248" t="s">
        <v>997</v>
      </c>
    </row>
    <row r="249" spans="1:78">
      <c r="A249" t="s">
        <v>422</v>
      </c>
      <c r="B249">
        <v>0</v>
      </c>
      <c r="C249" t="s">
        <v>54</v>
      </c>
      <c r="D249" t="s">
        <v>1</v>
      </c>
      <c r="E249" t="s">
        <v>115</v>
      </c>
      <c r="F249" t="s">
        <v>99</v>
      </c>
      <c r="G249" t="s">
        <v>100</v>
      </c>
      <c r="H249" t="s">
        <v>128</v>
      </c>
      <c r="I249" t="s">
        <v>100</v>
      </c>
      <c r="J249" t="s">
        <v>101</v>
      </c>
      <c r="K249" t="s">
        <v>559</v>
      </c>
      <c r="L249" t="s">
        <v>559</v>
      </c>
      <c r="M249" t="s">
        <v>100</v>
      </c>
      <c r="N249" t="s">
        <v>539</v>
      </c>
      <c r="O249" t="s">
        <v>100</v>
      </c>
      <c r="Q249" t="s">
        <v>539</v>
      </c>
      <c r="R249" t="s">
        <v>119</v>
      </c>
      <c r="S249" t="s">
        <v>130</v>
      </c>
      <c r="T249" t="s">
        <v>120</v>
      </c>
      <c r="U249" t="s">
        <v>101</v>
      </c>
      <c r="V249" t="s">
        <v>121</v>
      </c>
      <c r="W249" t="s">
        <v>122</v>
      </c>
      <c r="X249" t="s">
        <v>123</v>
      </c>
      <c r="Y249">
        <v>1</v>
      </c>
      <c r="Z249" t="s">
        <v>594</v>
      </c>
      <c r="AA249" s="280">
        <v>42807</v>
      </c>
      <c r="AB249" t="s">
        <v>114</v>
      </c>
      <c r="AC249" t="s">
        <v>124</v>
      </c>
      <c r="AD249" s="280">
        <v>44651</v>
      </c>
      <c r="AE249" t="s">
        <v>125</v>
      </c>
      <c r="AF249">
        <v>6</v>
      </c>
      <c r="AG249">
        <v>0</v>
      </c>
      <c r="AH249">
        <v>0</v>
      </c>
      <c r="AI249" t="s">
        <v>126</v>
      </c>
      <c r="AL249">
        <v>1.6986301369863011</v>
      </c>
      <c r="AN249">
        <v>1.6986301369863011</v>
      </c>
      <c r="AO249">
        <v>0.69863013698630105</v>
      </c>
      <c r="AP249">
        <v>0</v>
      </c>
      <c r="AR249" t="s">
        <v>127</v>
      </c>
      <c r="AS249">
        <v>6975.22</v>
      </c>
      <c r="AU249">
        <v>0</v>
      </c>
      <c r="AV249">
        <v>0</v>
      </c>
      <c r="AW249">
        <v>0</v>
      </c>
      <c r="AX249">
        <v>6975.22</v>
      </c>
      <c r="AY249">
        <v>126.70114382402699</v>
      </c>
      <c r="AZ249">
        <v>0</v>
      </c>
      <c r="BC249">
        <v>-6848.5188561759733</v>
      </c>
      <c r="BE249" t="s">
        <v>114</v>
      </c>
      <c r="BH249">
        <v>-74.590189509306228</v>
      </c>
      <c r="BI249">
        <v>-6.2158491257755193</v>
      </c>
      <c r="BK249" t="s">
        <v>116</v>
      </c>
      <c r="BL249">
        <v>0</v>
      </c>
      <c r="BM249">
        <v>-6923.1090456852799</v>
      </c>
      <c r="BR249">
        <v>0</v>
      </c>
      <c r="BS249">
        <v>52.110954314720402</v>
      </c>
      <c r="BW249" t="s">
        <v>167</v>
      </c>
      <c r="BX249" t="s">
        <v>168</v>
      </c>
      <c r="BZ249">
        <v>0</v>
      </c>
    </row>
    <row r="250" spans="1:78">
      <c r="A250">
        <v>1024</v>
      </c>
      <c r="B250" t="s">
        <v>928</v>
      </c>
      <c r="C250" t="s">
        <v>54</v>
      </c>
      <c r="D250" t="s">
        <v>1</v>
      </c>
      <c r="E250" t="s">
        <v>115</v>
      </c>
      <c r="F250" t="s">
        <v>99</v>
      </c>
      <c r="G250" t="s">
        <v>100</v>
      </c>
      <c r="H250" t="s">
        <v>128</v>
      </c>
      <c r="I250" t="s">
        <v>100</v>
      </c>
      <c r="J250" t="s">
        <v>101</v>
      </c>
      <c r="K250" t="s">
        <v>559</v>
      </c>
      <c r="L250" t="s">
        <v>559</v>
      </c>
      <c r="M250" t="s">
        <v>100</v>
      </c>
      <c r="N250" t="s">
        <v>540</v>
      </c>
      <c r="O250" t="s">
        <v>100</v>
      </c>
      <c r="Q250" t="s">
        <v>540</v>
      </c>
      <c r="R250" t="s">
        <v>119</v>
      </c>
      <c r="S250" t="s">
        <v>130</v>
      </c>
      <c r="T250" t="s">
        <v>120</v>
      </c>
      <c r="U250" t="s">
        <v>101</v>
      </c>
      <c r="V250" t="s">
        <v>121</v>
      </c>
      <c r="W250" t="s">
        <v>122</v>
      </c>
      <c r="X250" t="s">
        <v>123</v>
      </c>
      <c r="Y250">
        <v>1</v>
      </c>
      <c r="Z250" t="s">
        <v>589</v>
      </c>
      <c r="AA250" s="280">
        <v>41355</v>
      </c>
      <c r="AB250" t="s">
        <v>114</v>
      </c>
      <c r="AC250" t="s">
        <v>124</v>
      </c>
      <c r="AD250" s="280">
        <v>44651</v>
      </c>
      <c r="AE250" t="s">
        <v>125</v>
      </c>
      <c r="AF250">
        <v>6</v>
      </c>
      <c r="AG250">
        <v>0</v>
      </c>
      <c r="AH250">
        <v>0</v>
      </c>
      <c r="AI250" t="s">
        <v>126</v>
      </c>
      <c r="AL250">
        <v>1</v>
      </c>
      <c r="AN250">
        <v>1</v>
      </c>
      <c r="AO250">
        <v>0</v>
      </c>
      <c r="AP250" t="s">
        <v>1053</v>
      </c>
      <c r="AR250" t="s">
        <v>127</v>
      </c>
      <c r="AS250">
        <v>1014.6</v>
      </c>
      <c r="AU250">
        <v>0</v>
      </c>
      <c r="AV250">
        <v>0</v>
      </c>
      <c r="AW250">
        <v>0</v>
      </c>
      <c r="AX250">
        <v>1014.6</v>
      </c>
      <c r="AY250">
        <v>56.366666666666674</v>
      </c>
      <c r="AZ250">
        <v>0</v>
      </c>
      <c r="BC250">
        <v>-958.23333333333335</v>
      </c>
      <c r="BE250" t="s">
        <v>114</v>
      </c>
      <c r="BH250">
        <v>-56.366666666666674</v>
      </c>
      <c r="BI250">
        <v>-4.6972222222222229</v>
      </c>
      <c r="BK250" t="s">
        <v>116</v>
      </c>
      <c r="BL250">
        <v>0</v>
      </c>
      <c r="BM250">
        <v>-1014.6</v>
      </c>
      <c r="BR250">
        <v>0</v>
      </c>
      <c r="BS250">
        <v>0</v>
      </c>
      <c r="BW250" t="s">
        <v>167</v>
      </c>
      <c r="BX250" t="s">
        <v>168</v>
      </c>
      <c r="BZ250" t="s">
        <v>1015</v>
      </c>
    </row>
    <row r="251" spans="1:78">
      <c r="A251">
        <v>1027</v>
      </c>
      <c r="B251" t="s">
        <v>884</v>
      </c>
      <c r="C251" t="s">
        <v>54</v>
      </c>
      <c r="D251" t="s">
        <v>1</v>
      </c>
      <c r="E251" t="s">
        <v>115</v>
      </c>
      <c r="F251" t="s">
        <v>99</v>
      </c>
      <c r="G251" t="s">
        <v>100</v>
      </c>
      <c r="H251" t="s">
        <v>128</v>
      </c>
      <c r="I251" t="s">
        <v>100</v>
      </c>
      <c r="J251" t="s">
        <v>101</v>
      </c>
      <c r="K251" t="s">
        <v>559</v>
      </c>
      <c r="L251" t="s">
        <v>559</v>
      </c>
      <c r="M251" t="s">
        <v>100</v>
      </c>
      <c r="N251" t="s">
        <v>541</v>
      </c>
      <c r="O251" t="s">
        <v>100</v>
      </c>
      <c r="Q251" t="s">
        <v>541</v>
      </c>
      <c r="R251" t="s">
        <v>119</v>
      </c>
      <c r="S251" t="s">
        <v>130</v>
      </c>
      <c r="T251" t="s">
        <v>120</v>
      </c>
      <c r="U251" t="s">
        <v>101</v>
      </c>
      <c r="V251" t="s">
        <v>121</v>
      </c>
      <c r="W251" t="s">
        <v>122</v>
      </c>
      <c r="X251" t="s">
        <v>123</v>
      </c>
      <c r="Y251">
        <v>1</v>
      </c>
      <c r="Z251" t="s">
        <v>561</v>
      </c>
      <c r="AA251" s="280">
        <v>38071</v>
      </c>
      <c r="AB251" t="s">
        <v>114</v>
      </c>
      <c r="AC251" t="s">
        <v>124</v>
      </c>
      <c r="AD251" s="280">
        <v>44651</v>
      </c>
      <c r="AE251" t="s">
        <v>125</v>
      </c>
      <c r="AF251">
        <v>6</v>
      </c>
      <c r="AG251">
        <v>0</v>
      </c>
      <c r="AH251">
        <v>0</v>
      </c>
      <c r="AI251" t="s">
        <v>126</v>
      </c>
      <c r="AL251">
        <v>1</v>
      </c>
      <c r="AN251">
        <v>1</v>
      </c>
      <c r="AO251">
        <v>0</v>
      </c>
      <c r="AP251" t="s">
        <v>1050</v>
      </c>
      <c r="AR251" t="s">
        <v>127</v>
      </c>
      <c r="AS251">
        <v>4733.28</v>
      </c>
      <c r="AU251">
        <v>0</v>
      </c>
      <c r="AV251">
        <v>0</v>
      </c>
      <c r="AW251">
        <v>0</v>
      </c>
      <c r="AX251">
        <v>4733.28</v>
      </c>
      <c r="AY251">
        <v>262.96000000000004</v>
      </c>
      <c r="AZ251">
        <v>0</v>
      </c>
      <c r="BC251">
        <v>-4470.32</v>
      </c>
      <c r="BE251" t="s">
        <v>114</v>
      </c>
      <c r="BH251">
        <v>-262.96000000000004</v>
      </c>
      <c r="BI251">
        <v>-21.913333333333338</v>
      </c>
      <c r="BK251" t="s">
        <v>116</v>
      </c>
      <c r="BL251">
        <v>0</v>
      </c>
      <c r="BM251">
        <v>-4733.28</v>
      </c>
      <c r="BR251">
        <v>0</v>
      </c>
      <c r="BS251">
        <v>0</v>
      </c>
      <c r="BW251" t="s">
        <v>167</v>
      </c>
      <c r="BX251" t="s">
        <v>168</v>
      </c>
      <c r="BZ251" t="s">
        <v>1003</v>
      </c>
    </row>
    <row r="252" spans="1:78">
      <c r="A252">
        <v>1029</v>
      </c>
      <c r="B252" t="s">
        <v>864</v>
      </c>
      <c r="C252" t="s">
        <v>54</v>
      </c>
      <c r="D252" t="s">
        <v>1</v>
      </c>
      <c r="E252" t="s">
        <v>115</v>
      </c>
      <c r="F252" t="s">
        <v>99</v>
      </c>
      <c r="G252" t="s">
        <v>100</v>
      </c>
      <c r="H252" t="s">
        <v>128</v>
      </c>
      <c r="I252" t="s">
        <v>100</v>
      </c>
      <c r="J252" t="s">
        <v>101</v>
      </c>
      <c r="K252" t="s">
        <v>559</v>
      </c>
      <c r="L252" t="s">
        <v>559</v>
      </c>
      <c r="M252" t="s">
        <v>100</v>
      </c>
      <c r="N252" t="s">
        <v>542</v>
      </c>
      <c r="O252" t="s">
        <v>100</v>
      </c>
      <c r="Q252" t="s">
        <v>542</v>
      </c>
      <c r="R252" t="s">
        <v>119</v>
      </c>
      <c r="S252" t="s">
        <v>130</v>
      </c>
      <c r="T252" t="s">
        <v>120</v>
      </c>
      <c r="U252" t="s">
        <v>101</v>
      </c>
      <c r="V252" t="s">
        <v>121</v>
      </c>
      <c r="W252" t="s">
        <v>122</v>
      </c>
      <c r="X252" t="s">
        <v>123</v>
      </c>
      <c r="Y252">
        <v>1</v>
      </c>
      <c r="Z252" t="s">
        <v>589</v>
      </c>
      <c r="AA252" s="280">
        <v>41355</v>
      </c>
      <c r="AB252" t="s">
        <v>114</v>
      </c>
      <c r="AC252" t="s">
        <v>124</v>
      </c>
      <c r="AD252" s="280">
        <v>44651</v>
      </c>
      <c r="AE252" t="s">
        <v>125</v>
      </c>
      <c r="AF252">
        <v>6</v>
      </c>
      <c r="AG252">
        <v>0</v>
      </c>
      <c r="AH252">
        <v>0</v>
      </c>
      <c r="AI252" t="s">
        <v>126</v>
      </c>
      <c r="AL252">
        <v>1</v>
      </c>
      <c r="AN252">
        <v>1</v>
      </c>
      <c r="AO252">
        <v>0</v>
      </c>
      <c r="AP252" t="s">
        <v>1050</v>
      </c>
      <c r="AR252" t="s">
        <v>127</v>
      </c>
      <c r="AS252">
        <v>2593.5</v>
      </c>
      <c r="AU252">
        <v>0</v>
      </c>
      <c r="AV252">
        <v>0</v>
      </c>
      <c r="AW252">
        <v>0</v>
      </c>
      <c r="AX252">
        <v>2593.5</v>
      </c>
      <c r="AY252">
        <v>144.08333333333303</v>
      </c>
      <c r="AZ252">
        <v>0</v>
      </c>
      <c r="BC252">
        <v>-2449.416666666667</v>
      </c>
      <c r="BE252" t="s">
        <v>114</v>
      </c>
      <c r="BH252">
        <v>-144.08333333333303</v>
      </c>
      <c r="BI252">
        <v>-12.00694444444442</v>
      </c>
      <c r="BK252" t="s">
        <v>116</v>
      </c>
      <c r="BL252">
        <v>0</v>
      </c>
      <c r="BM252">
        <v>-2593.5</v>
      </c>
      <c r="BR252">
        <v>0</v>
      </c>
      <c r="BS252">
        <v>0</v>
      </c>
      <c r="BW252" t="s">
        <v>167</v>
      </c>
      <c r="BX252" t="s">
        <v>168</v>
      </c>
      <c r="BZ252" t="s">
        <v>948</v>
      </c>
    </row>
    <row r="253" spans="1:78">
      <c r="A253">
        <v>1030</v>
      </c>
      <c r="B253">
        <v>0</v>
      </c>
      <c r="C253" t="s">
        <v>54</v>
      </c>
      <c r="D253" t="s">
        <v>1</v>
      </c>
      <c r="E253" t="s">
        <v>115</v>
      </c>
      <c r="F253" t="s">
        <v>99</v>
      </c>
      <c r="G253" t="s">
        <v>100</v>
      </c>
      <c r="H253" t="s">
        <v>128</v>
      </c>
      <c r="I253" t="s">
        <v>100</v>
      </c>
      <c r="J253" t="s">
        <v>101</v>
      </c>
      <c r="K253" t="s">
        <v>559</v>
      </c>
      <c r="L253" t="s">
        <v>559</v>
      </c>
      <c r="M253" t="s">
        <v>100</v>
      </c>
      <c r="N253" t="s">
        <v>543</v>
      </c>
      <c r="O253" t="s">
        <v>100</v>
      </c>
      <c r="Q253" t="s">
        <v>543</v>
      </c>
      <c r="R253" t="s">
        <v>119</v>
      </c>
      <c r="S253" t="s">
        <v>130</v>
      </c>
      <c r="T253" t="s">
        <v>120</v>
      </c>
      <c r="U253" t="s">
        <v>101</v>
      </c>
      <c r="V253" t="s">
        <v>121</v>
      </c>
      <c r="W253" t="s">
        <v>122</v>
      </c>
      <c r="X253" t="s">
        <v>123</v>
      </c>
      <c r="Y253">
        <v>1</v>
      </c>
      <c r="Z253" t="s">
        <v>595</v>
      </c>
      <c r="AA253" s="280">
        <v>39904</v>
      </c>
      <c r="AB253" t="s">
        <v>114</v>
      </c>
      <c r="AC253" t="s">
        <v>124</v>
      </c>
      <c r="AD253" s="280">
        <v>44651</v>
      </c>
      <c r="AE253" t="s">
        <v>125</v>
      </c>
      <c r="AF253">
        <v>6</v>
      </c>
      <c r="AG253">
        <v>0</v>
      </c>
      <c r="AH253">
        <v>0</v>
      </c>
      <c r="AI253" t="s">
        <v>126</v>
      </c>
      <c r="AL253">
        <v>1</v>
      </c>
      <c r="AN253">
        <v>1</v>
      </c>
      <c r="AO253">
        <v>0</v>
      </c>
      <c r="AP253">
        <v>0</v>
      </c>
      <c r="AR253" t="s">
        <v>127</v>
      </c>
      <c r="AS253">
        <v>691</v>
      </c>
      <c r="AU253">
        <v>0</v>
      </c>
      <c r="AV253">
        <v>0</v>
      </c>
      <c r="AW253">
        <v>0</v>
      </c>
      <c r="AX253">
        <v>691</v>
      </c>
      <c r="AY253">
        <v>38.388888888888914</v>
      </c>
      <c r="AZ253">
        <v>0</v>
      </c>
      <c r="BC253">
        <v>-652.61111111111109</v>
      </c>
      <c r="BE253" t="s">
        <v>114</v>
      </c>
      <c r="BH253">
        <v>-38.388888888888914</v>
      </c>
      <c r="BI253">
        <v>-3.1990740740740762</v>
      </c>
      <c r="BK253" t="s">
        <v>116</v>
      </c>
      <c r="BL253">
        <v>0</v>
      </c>
      <c r="BM253">
        <v>-691</v>
      </c>
      <c r="BR253">
        <v>0</v>
      </c>
      <c r="BS253">
        <v>0</v>
      </c>
      <c r="BW253" t="s">
        <v>167</v>
      </c>
      <c r="BX253" t="s">
        <v>168</v>
      </c>
      <c r="BZ253">
        <v>0</v>
      </c>
    </row>
    <row r="254" spans="1:78">
      <c r="A254">
        <v>1112</v>
      </c>
      <c r="B254" t="s">
        <v>869</v>
      </c>
      <c r="C254" t="s">
        <v>54</v>
      </c>
      <c r="D254" t="s">
        <v>1</v>
      </c>
      <c r="E254" t="s">
        <v>115</v>
      </c>
      <c r="F254" t="s">
        <v>99</v>
      </c>
      <c r="G254" t="s">
        <v>100</v>
      </c>
      <c r="H254" t="s">
        <v>128</v>
      </c>
      <c r="I254" t="s">
        <v>100</v>
      </c>
      <c r="J254" t="s">
        <v>101</v>
      </c>
      <c r="K254" t="s">
        <v>559</v>
      </c>
      <c r="L254" t="s">
        <v>559</v>
      </c>
      <c r="M254" t="s">
        <v>100</v>
      </c>
      <c r="N254" t="s">
        <v>544</v>
      </c>
      <c r="O254" t="s">
        <v>100</v>
      </c>
      <c r="Q254" t="s">
        <v>544</v>
      </c>
      <c r="R254" t="s">
        <v>119</v>
      </c>
      <c r="S254" t="s">
        <v>130</v>
      </c>
      <c r="T254" t="s">
        <v>120</v>
      </c>
      <c r="U254" t="s">
        <v>101</v>
      </c>
      <c r="V254" t="s">
        <v>121</v>
      </c>
      <c r="W254" t="s">
        <v>122</v>
      </c>
      <c r="X254" t="s">
        <v>123</v>
      </c>
      <c r="Y254">
        <v>1</v>
      </c>
      <c r="Z254" t="s">
        <v>596</v>
      </c>
      <c r="AA254" s="280">
        <v>43285</v>
      </c>
      <c r="AB254" t="s">
        <v>114</v>
      </c>
      <c r="AC254" t="s">
        <v>124</v>
      </c>
      <c r="AD254" s="280">
        <v>44651</v>
      </c>
      <c r="AE254" t="s">
        <v>125</v>
      </c>
      <c r="AF254">
        <v>6</v>
      </c>
      <c r="AG254">
        <v>0</v>
      </c>
      <c r="AH254">
        <v>0</v>
      </c>
      <c r="AI254" t="s">
        <v>126</v>
      </c>
      <c r="AL254">
        <v>1.0082191780821916</v>
      </c>
      <c r="AN254">
        <v>1.0082191780821916</v>
      </c>
      <c r="AO254">
        <v>8.219178082191636E-3</v>
      </c>
      <c r="AP254" t="s">
        <v>1050</v>
      </c>
      <c r="AR254" t="s">
        <v>127</v>
      </c>
      <c r="AS254">
        <v>17200</v>
      </c>
      <c r="AU254">
        <v>0</v>
      </c>
      <c r="AV254">
        <v>0</v>
      </c>
      <c r="AW254">
        <v>0</v>
      </c>
      <c r="AX254">
        <v>17200</v>
      </c>
      <c r="AY254">
        <v>724.52048931489844</v>
      </c>
      <c r="AZ254">
        <v>0</v>
      </c>
      <c r="BC254">
        <v>-16475.479510685102</v>
      </c>
      <c r="BE254" t="s">
        <v>114</v>
      </c>
      <c r="BH254">
        <v>-718.61407228244013</v>
      </c>
      <c r="BI254">
        <v>-59.88450602353668</v>
      </c>
      <c r="BK254" t="s">
        <v>116</v>
      </c>
      <c r="BL254">
        <v>0</v>
      </c>
      <c r="BM254">
        <v>-17194.09358296754</v>
      </c>
      <c r="BR254">
        <v>0</v>
      </c>
      <c r="BS254">
        <v>5.9064170324600127</v>
      </c>
      <c r="BW254" t="s">
        <v>167</v>
      </c>
      <c r="BX254" t="s">
        <v>168</v>
      </c>
      <c r="BZ254" t="s">
        <v>952</v>
      </c>
    </row>
    <row r="255" spans="1:78">
      <c r="A255">
        <v>1117</v>
      </c>
      <c r="B255" t="s">
        <v>885</v>
      </c>
      <c r="C255" t="s">
        <v>54</v>
      </c>
      <c r="D255" t="s">
        <v>1</v>
      </c>
      <c r="E255" t="s">
        <v>115</v>
      </c>
      <c r="F255" t="s">
        <v>99</v>
      </c>
      <c r="G255" t="s">
        <v>100</v>
      </c>
      <c r="H255" t="s">
        <v>128</v>
      </c>
      <c r="I255" t="s">
        <v>100</v>
      </c>
      <c r="J255" t="s">
        <v>101</v>
      </c>
      <c r="K255" t="s">
        <v>559</v>
      </c>
      <c r="L255" t="s">
        <v>559</v>
      </c>
      <c r="M255" t="s">
        <v>100</v>
      </c>
      <c r="N255" t="s">
        <v>545</v>
      </c>
      <c r="O255" t="s">
        <v>100</v>
      </c>
      <c r="Q255" t="s">
        <v>545</v>
      </c>
      <c r="R255" t="s">
        <v>119</v>
      </c>
      <c r="S255" t="s">
        <v>130</v>
      </c>
      <c r="T255" t="s">
        <v>120</v>
      </c>
      <c r="U255" t="s">
        <v>101</v>
      </c>
      <c r="V255" t="s">
        <v>121</v>
      </c>
      <c r="W255" t="s">
        <v>122</v>
      </c>
      <c r="X255" t="s">
        <v>123</v>
      </c>
      <c r="Y255">
        <v>1</v>
      </c>
      <c r="Z255" t="s">
        <v>596</v>
      </c>
      <c r="AA255" s="280">
        <v>43285</v>
      </c>
      <c r="AB255" t="s">
        <v>114</v>
      </c>
      <c r="AC255" t="s">
        <v>124</v>
      </c>
      <c r="AD255" s="280">
        <v>44651</v>
      </c>
      <c r="AE255" t="s">
        <v>125</v>
      </c>
      <c r="AF255">
        <v>6</v>
      </c>
      <c r="AG255">
        <v>0</v>
      </c>
      <c r="AH255">
        <v>0</v>
      </c>
      <c r="AI255" t="s">
        <v>126</v>
      </c>
      <c r="AL255">
        <v>1.0082191780821916</v>
      </c>
      <c r="AN255">
        <v>1.0082191780821916</v>
      </c>
      <c r="AO255">
        <v>8.219178082191636E-3</v>
      </c>
      <c r="AP255" t="s">
        <v>1050</v>
      </c>
      <c r="AR255" t="s">
        <v>127</v>
      </c>
      <c r="AS255">
        <v>8600</v>
      </c>
      <c r="AU255">
        <v>0</v>
      </c>
      <c r="AV255">
        <v>0</v>
      </c>
      <c r="AW255">
        <v>0</v>
      </c>
      <c r="AX255">
        <v>8600</v>
      </c>
      <c r="AY255">
        <v>362.26024465744922</v>
      </c>
      <c r="AZ255">
        <v>0</v>
      </c>
      <c r="BC255">
        <v>-8237.7397553425508</v>
      </c>
      <c r="BE255" t="s">
        <v>114</v>
      </c>
      <c r="BH255">
        <v>-359.30703614122007</v>
      </c>
      <c r="BI255">
        <v>-29.94225301176834</v>
      </c>
      <c r="BK255" t="s">
        <v>116</v>
      </c>
      <c r="BL255">
        <v>0</v>
      </c>
      <c r="BM255">
        <v>-8597.04679148377</v>
      </c>
      <c r="BR255">
        <v>0</v>
      </c>
      <c r="BS255">
        <v>2.9532085162300064</v>
      </c>
      <c r="BW255" t="s">
        <v>167</v>
      </c>
      <c r="BX255" t="s">
        <v>168</v>
      </c>
      <c r="BZ255" t="s">
        <v>974</v>
      </c>
    </row>
    <row r="256" spans="1:78">
      <c r="A256">
        <v>1113</v>
      </c>
      <c r="B256" t="s">
        <v>929</v>
      </c>
      <c r="C256" t="s">
        <v>54</v>
      </c>
      <c r="D256" t="s">
        <v>1</v>
      </c>
      <c r="E256" t="s">
        <v>115</v>
      </c>
      <c r="F256" t="s">
        <v>99</v>
      </c>
      <c r="G256" t="s">
        <v>100</v>
      </c>
      <c r="H256" t="s">
        <v>128</v>
      </c>
      <c r="I256" t="s">
        <v>100</v>
      </c>
      <c r="J256" t="s">
        <v>101</v>
      </c>
      <c r="K256" t="s">
        <v>559</v>
      </c>
      <c r="L256" t="s">
        <v>559</v>
      </c>
      <c r="M256" t="s">
        <v>100</v>
      </c>
      <c r="N256" t="s">
        <v>498</v>
      </c>
      <c r="O256" t="s">
        <v>100</v>
      </c>
      <c r="Q256" t="s">
        <v>498</v>
      </c>
      <c r="R256" t="s">
        <v>119</v>
      </c>
      <c r="S256" t="s">
        <v>130</v>
      </c>
      <c r="T256" t="s">
        <v>120</v>
      </c>
      <c r="U256" t="s">
        <v>101</v>
      </c>
      <c r="V256" t="s">
        <v>121</v>
      </c>
      <c r="W256" t="s">
        <v>122</v>
      </c>
      <c r="X256" t="s">
        <v>123</v>
      </c>
      <c r="Y256">
        <v>1</v>
      </c>
      <c r="Z256" t="s">
        <v>596</v>
      </c>
      <c r="AA256" s="280">
        <v>43285</v>
      </c>
      <c r="AB256" t="s">
        <v>114</v>
      </c>
      <c r="AC256" t="s">
        <v>124</v>
      </c>
      <c r="AD256" s="280">
        <v>44651</v>
      </c>
      <c r="AE256" t="s">
        <v>125</v>
      </c>
      <c r="AF256">
        <v>6</v>
      </c>
      <c r="AG256">
        <v>0</v>
      </c>
      <c r="AH256">
        <v>0</v>
      </c>
      <c r="AI256" t="s">
        <v>126</v>
      </c>
      <c r="AL256">
        <v>1.0082191780821916</v>
      </c>
      <c r="AN256">
        <v>1.0082191780821916</v>
      </c>
      <c r="AO256">
        <v>8.219178082191636E-3</v>
      </c>
      <c r="AP256" t="s">
        <v>1050</v>
      </c>
      <c r="AR256" t="s">
        <v>127</v>
      </c>
      <c r="AS256">
        <v>7000</v>
      </c>
      <c r="AU256">
        <v>0</v>
      </c>
      <c r="AV256">
        <v>0</v>
      </c>
      <c r="AW256">
        <v>0</v>
      </c>
      <c r="AX256">
        <v>7000</v>
      </c>
      <c r="AY256">
        <v>294.86298983745928</v>
      </c>
      <c r="AZ256">
        <v>0</v>
      </c>
      <c r="BC256">
        <v>-6705.1370101625407</v>
      </c>
      <c r="BE256" t="s">
        <v>114</v>
      </c>
      <c r="BH256">
        <v>-292.4592154637844</v>
      </c>
      <c r="BI256">
        <v>-24.371601288648701</v>
      </c>
      <c r="BK256" t="s">
        <v>116</v>
      </c>
      <c r="BL256">
        <v>0</v>
      </c>
      <c r="BM256">
        <v>-6997.5962256263247</v>
      </c>
      <c r="BR256">
        <v>0</v>
      </c>
      <c r="BS256">
        <v>2.4037743736753328</v>
      </c>
      <c r="BW256" t="s">
        <v>167</v>
      </c>
      <c r="BX256" t="s">
        <v>168</v>
      </c>
      <c r="BZ256" t="s">
        <v>975</v>
      </c>
    </row>
    <row r="257" spans="1:78">
      <c r="A257">
        <v>1114</v>
      </c>
      <c r="B257" t="s">
        <v>869</v>
      </c>
      <c r="C257" t="s">
        <v>54</v>
      </c>
      <c r="D257" t="s">
        <v>1</v>
      </c>
      <c r="E257" t="s">
        <v>115</v>
      </c>
      <c r="F257" t="s">
        <v>99</v>
      </c>
      <c r="G257" t="s">
        <v>100</v>
      </c>
      <c r="H257" t="s">
        <v>128</v>
      </c>
      <c r="I257" t="s">
        <v>100</v>
      </c>
      <c r="J257" t="s">
        <v>101</v>
      </c>
      <c r="K257" t="s">
        <v>559</v>
      </c>
      <c r="L257" t="s">
        <v>559</v>
      </c>
      <c r="M257" t="s">
        <v>100</v>
      </c>
      <c r="N257" t="s">
        <v>546</v>
      </c>
      <c r="O257" t="s">
        <v>100</v>
      </c>
      <c r="Q257" t="s">
        <v>546</v>
      </c>
      <c r="R257" t="s">
        <v>119</v>
      </c>
      <c r="S257" t="s">
        <v>130</v>
      </c>
      <c r="T257" t="s">
        <v>120</v>
      </c>
      <c r="U257" t="s">
        <v>101</v>
      </c>
      <c r="V257" t="s">
        <v>121</v>
      </c>
      <c r="W257" t="s">
        <v>122</v>
      </c>
      <c r="X257" t="s">
        <v>123</v>
      </c>
      <c r="Y257">
        <v>1</v>
      </c>
      <c r="Z257" t="s">
        <v>596</v>
      </c>
      <c r="AA257" s="280">
        <v>43285</v>
      </c>
      <c r="AB257" t="s">
        <v>114</v>
      </c>
      <c r="AC257" t="s">
        <v>124</v>
      </c>
      <c r="AD257" s="280">
        <v>44651</v>
      </c>
      <c r="AE257" t="s">
        <v>125</v>
      </c>
      <c r="AF257">
        <v>6</v>
      </c>
      <c r="AG257">
        <v>0</v>
      </c>
      <c r="AH257">
        <v>0</v>
      </c>
      <c r="AI257" t="s">
        <v>126</v>
      </c>
      <c r="AL257">
        <v>1.0082191780821916</v>
      </c>
      <c r="AN257">
        <v>1.0082191780821916</v>
      </c>
      <c r="AO257">
        <v>8.219178082191636E-3</v>
      </c>
      <c r="AP257" t="s">
        <v>1050</v>
      </c>
      <c r="AR257" t="s">
        <v>127</v>
      </c>
      <c r="AS257">
        <v>3500</v>
      </c>
      <c r="AU257">
        <v>0</v>
      </c>
      <c r="AV257">
        <v>0</v>
      </c>
      <c r="AW257">
        <v>0</v>
      </c>
      <c r="AX257">
        <v>3500</v>
      </c>
      <c r="AY257">
        <v>147.43149491872964</v>
      </c>
      <c r="AZ257">
        <v>0</v>
      </c>
      <c r="BC257">
        <v>-3352.5685050812704</v>
      </c>
      <c r="BE257" t="s">
        <v>114</v>
      </c>
      <c r="BH257">
        <v>-146.2296077318922</v>
      </c>
      <c r="BI257">
        <v>-12.185800644324351</v>
      </c>
      <c r="BK257" t="s">
        <v>116</v>
      </c>
      <c r="BL257">
        <v>0</v>
      </c>
      <c r="BM257">
        <v>-3498.7981128131623</v>
      </c>
      <c r="BR257">
        <v>0</v>
      </c>
      <c r="BS257">
        <v>1.2018871868376664</v>
      </c>
      <c r="BW257" t="s">
        <v>167</v>
      </c>
      <c r="BX257" t="s">
        <v>168</v>
      </c>
      <c r="BZ257" t="s">
        <v>952</v>
      </c>
    </row>
    <row r="258" spans="1:78">
      <c r="A258">
        <v>1115</v>
      </c>
      <c r="B258" t="s">
        <v>870</v>
      </c>
      <c r="C258" t="s">
        <v>54</v>
      </c>
      <c r="D258" t="s">
        <v>1</v>
      </c>
      <c r="E258" t="s">
        <v>115</v>
      </c>
      <c r="F258" t="s">
        <v>99</v>
      </c>
      <c r="G258" t="s">
        <v>100</v>
      </c>
      <c r="H258" t="s">
        <v>128</v>
      </c>
      <c r="I258" t="s">
        <v>100</v>
      </c>
      <c r="J258" t="s">
        <v>101</v>
      </c>
      <c r="K258" t="s">
        <v>559</v>
      </c>
      <c r="L258" t="s">
        <v>559</v>
      </c>
      <c r="M258" t="s">
        <v>100</v>
      </c>
      <c r="N258" t="s">
        <v>546</v>
      </c>
      <c r="O258" t="s">
        <v>100</v>
      </c>
      <c r="Q258" t="s">
        <v>546</v>
      </c>
      <c r="R258" t="s">
        <v>119</v>
      </c>
      <c r="S258" t="s">
        <v>130</v>
      </c>
      <c r="T258" t="s">
        <v>120</v>
      </c>
      <c r="U258" t="s">
        <v>101</v>
      </c>
      <c r="V258" t="s">
        <v>121</v>
      </c>
      <c r="W258" t="s">
        <v>122</v>
      </c>
      <c r="X258" t="s">
        <v>123</v>
      </c>
      <c r="Y258">
        <v>1</v>
      </c>
      <c r="Z258" t="s">
        <v>596</v>
      </c>
      <c r="AA258" s="280">
        <v>43285</v>
      </c>
      <c r="AB258" t="s">
        <v>114</v>
      </c>
      <c r="AC258" t="s">
        <v>124</v>
      </c>
      <c r="AD258" s="280">
        <v>44651</v>
      </c>
      <c r="AE258" t="s">
        <v>125</v>
      </c>
      <c r="AF258">
        <v>6</v>
      </c>
      <c r="AG258">
        <v>0</v>
      </c>
      <c r="AH258">
        <v>0</v>
      </c>
      <c r="AI258" t="s">
        <v>126</v>
      </c>
      <c r="AL258">
        <v>1.0082191780821916</v>
      </c>
      <c r="AN258">
        <v>1.0082191780821916</v>
      </c>
      <c r="AO258">
        <v>8.219178082191636E-3</v>
      </c>
      <c r="AP258" t="s">
        <v>1050</v>
      </c>
      <c r="AR258" t="s">
        <v>127</v>
      </c>
      <c r="AS258">
        <v>3500</v>
      </c>
      <c r="AU258">
        <v>0</v>
      </c>
      <c r="AV258">
        <v>0</v>
      </c>
      <c r="AW258">
        <v>0</v>
      </c>
      <c r="AX258">
        <v>3500</v>
      </c>
      <c r="AY258">
        <v>147.43149491872964</v>
      </c>
      <c r="AZ258">
        <v>0</v>
      </c>
      <c r="BC258">
        <v>-3352.5685050812704</v>
      </c>
      <c r="BE258" t="s">
        <v>114</v>
      </c>
      <c r="BH258">
        <v>-146.2296077318922</v>
      </c>
      <c r="BI258">
        <v>-12.185800644324351</v>
      </c>
      <c r="BK258" t="s">
        <v>116</v>
      </c>
      <c r="BL258">
        <v>0</v>
      </c>
      <c r="BM258">
        <v>-3498.7981128131623</v>
      </c>
      <c r="BR258">
        <v>0</v>
      </c>
      <c r="BS258">
        <v>1.2018871868376664</v>
      </c>
      <c r="BW258" t="s">
        <v>167</v>
      </c>
      <c r="BX258" t="s">
        <v>168</v>
      </c>
      <c r="BZ258" t="s">
        <v>953</v>
      </c>
    </row>
    <row r="259" spans="1:78">
      <c r="A259">
        <v>1116</v>
      </c>
      <c r="B259" t="s">
        <v>877</v>
      </c>
      <c r="C259" t="s">
        <v>54</v>
      </c>
      <c r="D259" t="s">
        <v>1</v>
      </c>
      <c r="E259" t="s">
        <v>115</v>
      </c>
      <c r="F259" t="s">
        <v>99</v>
      </c>
      <c r="G259" t="s">
        <v>100</v>
      </c>
      <c r="H259" t="s">
        <v>128</v>
      </c>
      <c r="I259" t="s">
        <v>100</v>
      </c>
      <c r="J259" t="s">
        <v>101</v>
      </c>
      <c r="K259" t="s">
        <v>559</v>
      </c>
      <c r="L259" t="s">
        <v>559</v>
      </c>
      <c r="M259" t="s">
        <v>100</v>
      </c>
      <c r="N259" t="s">
        <v>546</v>
      </c>
      <c r="O259" t="s">
        <v>100</v>
      </c>
      <c r="Q259" t="s">
        <v>546</v>
      </c>
      <c r="R259" t="s">
        <v>119</v>
      </c>
      <c r="S259" t="s">
        <v>130</v>
      </c>
      <c r="T259" t="s">
        <v>120</v>
      </c>
      <c r="U259" t="s">
        <v>101</v>
      </c>
      <c r="V259" t="s">
        <v>121</v>
      </c>
      <c r="W259" t="s">
        <v>122</v>
      </c>
      <c r="X259" t="s">
        <v>123</v>
      </c>
      <c r="Y259">
        <v>1</v>
      </c>
      <c r="Z259" t="s">
        <v>596</v>
      </c>
      <c r="AA259" s="280">
        <v>43285</v>
      </c>
      <c r="AB259" t="s">
        <v>114</v>
      </c>
      <c r="AC259" t="s">
        <v>124</v>
      </c>
      <c r="AD259" s="280">
        <v>44651</v>
      </c>
      <c r="AE259" t="s">
        <v>125</v>
      </c>
      <c r="AF259">
        <v>6</v>
      </c>
      <c r="AG259">
        <v>0</v>
      </c>
      <c r="AH259">
        <v>0</v>
      </c>
      <c r="AI259" t="s">
        <v>126</v>
      </c>
      <c r="AL259">
        <v>1.0082191780821916</v>
      </c>
      <c r="AN259">
        <v>1.0082191780821916</v>
      </c>
      <c r="AO259">
        <v>8.219178082191636E-3</v>
      </c>
      <c r="AP259" t="s">
        <v>1050</v>
      </c>
      <c r="AR259" t="s">
        <v>127</v>
      </c>
      <c r="AS259">
        <v>3500</v>
      </c>
      <c r="AU259">
        <v>0</v>
      </c>
      <c r="AV259">
        <v>0</v>
      </c>
      <c r="AW259">
        <v>0</v>
      </c>
      <c r="AX259">
        <v>3500</v>
      </c>
      <c r="AY259">
        <v>147.43149491872964</v>
      </c>
      <c r="AZ259">
        <v>0</v>
      </c>
      <c r="BC259">
        <v>-3352.5685050812704</v>
      </c>
      <c r="BE259" t="s">
        <v>114</v>
      </c>
      <c r="BH259">
        <v>-146.2296077318922</v>
      </c>
      <c r="BI259">
        <v>-12.185800644324351</v>
      </c>
      <c r="BK259" t="s">
        <v>116</v>
      </c>
      <c r="BL259">
        <v>0</v>
      </c>
      <c r="BM259">
        <v>-3498.7981128131623</v>
      </c>
      <c r="BR259">
        <v>0</v>
      </c>
      <c r="BS259">
        <v>1.2018871868376664</v>
      </c>
      <c r="BW259" t="s">
        <v>167</v>
      </c>
      <c r="BX259" t="s">
        <v>168</v>
      </c>
      <c r="BZ259" t="s">
        <v>1016</v>
      </c>
    </row>
    <row r="260" spans="1:78">
      <c r="A260">
        <v>1118</v>
      </c>
      <c r="B260" t="s">
        <v>885</v>
      </c>
      <c r="C260" t="s">
        <v>54</v>
      </c>
      <c r="D260" t="s">
        <v>1</v>
      </c>
      <c r="E260" t="s">
        <v>115</v>
      </c>
      <c r="F260" t="s">
        <v>99</v>
      </c>
      <c r="G260" t="s">
        <v>100</v>
      </c>
      <c r="H260" t="s">
        <v>128</v>
      </c>
      <c r="I260" t="s">
        <v>100</v>
      </c>
      <c r="J260" t="s">
        <v>101</v>
      </c>
      <c r="K260" t="s">
        <v>559</v>
      </c>
      <c r="L260" t="s">
        <v>559</v>
      </c>
      <c r="M260" t="s">
        <v>100</v>
      </c>
      <c r="N260" t="s">
        <v>547</v>
      </c>
      <c r="O260" t="s">
        <v>100</v>
      </c>
      <c r="Q260" t="s">
        <v>547</v>
      </c>
      <c r="R260" t="s">
        <v>119</v>
      </c>
      <c r="S260" t="s">
        <v>130</v>
      </c>
      <c r="T260" t="s">
        <v>120</v>
      </c>
      <c r="U260" t="s">
        <v>101</v>
      </c>
      <c r="V260" t="s">
        <v>121</v>
      </c>
      <c r="W260" t="s">
        <v>122</v>
      </c>
      <c r="X260" t="s">
        <v>123</v>
      </c>
      <c r="Y260">
        <v>1</v>
      </c>
      <c r="Z260" t="s">
        <v>596</v>
      </c>
      <c r="AA260" s="280">
        <v>43285</v>
      </c>
      <c r="AB260" t="s">
        <v>114</v>
      </c>
      <c r="AC260" t="s">
        <v>124</v>
      </c>
      <c r="AD260" s="280">
        <v>44651</v>
      </c>
      <c r="AE260" t="s">
        <v>125</v>
      </c>
      <c r="AF260">
        <v>6</v>
      </c>
      <c r="AG260">
        <v>0</v>
      </c>
      <c r="AH260">
        <v>0</v>
      </c>
      <c r="AI260" t="s">
        <v>126</v>
      </c>
      <c r="AL260">
        <v>1.0082191780821916</v>
      </c>
      <c r="AN260">
        <v>1.0082191780821916</v>
      </c>
      <c r="AO260">
        <v>8.219178082191636E-3</v>
      </c>
      <c r="AP260" t="s">
        <v>1050</v>
      </c>
      <c r="AR260" t="s">
        <v>127</v>
      </c>
      <c r="AS260">
        <v>14000</v>
      </c>
      <c r="AU260">
        <v>0</v>
      </c>
      <c r="AV260">
        <v>0</v>
      </c>
      <c r="AW260">
        <v>0</v>
      </c>
      <c r="AX260">
        <v>14000</v>
      </c>
      <c r="AY260">
        <v>589.72597967491856</v>
      </c>
      <c r="AZ260">
        <v>0</v>
      </c>
      <c r="BC260">
        <v>-13410.274020325081</v>
      </c>
      <c r="BE260" t="s">
        <v>114</v>
      </c>
      <c r="BH260">
        <v>-584.91843092756881</v>
      </c>
      <c r="BI260">
        <v>-48.743202577297403</v>
      </c>
      <c r="BK260" t="s">
        <v>116</v>
      </c>
      <c r="BL260">
        <v>0</v>
      </c>
      <c r="BM260">
        <v>-13995.192451252649</v>
      </c>
      <c r="BR260">
        <v>0</v>
      </c>
      <c r="BS260">
        <v>4.8075487473506655</v>
      </c>
      <c r="BW260" t="s">
        <v>167</v>
      </c>
      <c r="BX260" t="s">
        <v>168</v>
      </c>
      <c r="BZ260" t="s">
        <v>974</v>
      </c>
    </row>
    <row r="261" spans="1:78">
      <c r="A261">
        <v>1120</v>
      </c>
      <c r="B261" t="s">
        <v>885</v>
      </c>
      <c r="C261" t="s">
        <v>54</v>
      </c>
      <c r="D261" t="s">
        <v>1</v>
      </c>
      <c r="E261" t="s">
        <v>115</v>
      </c>
      <c r="F261" t="s">
        <v>99</v>
      </c>
      <c r="G261" t="s">
        <v>100</v>
      </c>
      <c r="H261" t="s">
        <v>128</v>
      </c>
      <c r="I261" t="s">
        <v>100</v>
      </c>
      <c r="J261" t="s">
        <v>101</v>
      </c>
      <c r="K261" t="s">
        <v>559</v>
      </c>
      <c r="L261" t="s">
        <v>559</v>
      </c>
      <c r="M261" t="s">
        <v>100</v>
      </c>
      <c r="N261" t="s">
        <v>548</v>
      </c>
      <c r="O261" t="s">
        <v>100</v>
      </c>
      <c r="Q261" t="s">
        <v>548</v>
      </c>
      <c r="R261" t="s">
        <v>119</v>
      </c>
      <c r="S261" t="s">
        <v>130</v>
      </c>
      <c r="T261" t="s">
        <v>120</v>
      </c>
      <c r="U261" t="s">
        <v>101</v>
      </c>
      <c r="V261" t="s">
        <v>121</v>
      </c>
      <c r="W261" t="s">
        <v>122</v>
      </c>
      <c r="X261" t="s">
        <v>123</v>
      </c>
      <c r="Y261">
        <v>1</v>
      </c>
      <c r="Z261" t="s">
        <v>596</v>
      </c>
      <c r="AA261" s="280">
        <v>43285</v>
      </c>
      <c r="AB261" t="s">
        <v>114</v>
      </c>
      <c r="AC261" t="s">
        <v>124</v>
      </c>
      <c r="AD261" s="280">
        <v>44651</v>
      </c>
      <c r="AE261" t="s">
        <v>125</v>
      </c>
      <c r="AF261">
        <v>6</v>
      </c>
      <c r="AG261">
        <v>0</v>
      </c>
      <c r="AH261">
        <v>0</v>
      </c>
      <c r="AI261" t="s">
        <v>126</v>
      </c>
      <c r="AL261">
        <v>1.0082191780821916</v>
      </c>
      <c r="AN261">
        <v>1.0082191780821916</v>
      </c>
      <c r="AO261">
        <v>8.219178082191636E-3</v>
      </c>
      <c r="AP261" t="s">
        <v>1050</v>
      </c>
      <c r="AR261" t="s">
        <v>127</v>
      </c>
      <c r="AS261">
        <v>13000</v>
      </c>
      <c r="AU261">
        <v>0</v>
      </c>
      <c r="AV261">
        <v>0</v>
      </c>
      <c r="AW261">
        <v>0</v>
      </c>
      <c r="AX261">
        <v>13000</v>
      </c>
      <c r="AY261">
        <v>547.60269541242451</v>
      </c>
      <c r="AZ261">
        <v>0</v>
      </c>
      <c r="BC261">
        <v>-12452.397304587575</v>
      </c>
      <c r="BE261" t="s">
        <v>114</v>
      </c>
      <c r="BH261">
        <v>-543.13854300417108</v>
      </c>
      <c r="BI261">
        <v>-45.261545250347588</v>
      </c>
      <c r="BK261" t="s">
        <v>116</v>
      </c>
      <c r="BL261">
        <v>0</v>
      </c>
      <c r="BM261">
        <v>-12995.535847591747</v>
      </c>
      <c r="BR261">
        <v>0</v>
      </c>
      <c r="BS261">
        <v>4.4641524082526303</v>
      </c>
      <c r="BW261" t="s">
        <v>167</v>
      </c>
      <c r="BX261" t="s">
        <v>168</v>
      </c>
      <c r="BZ261" t="s">
        <v>974</v>
      </c>
    </row>
    <row r="262" spans="1:78">
      <c r="A262">
        <v>1121</v>
      </c>
      <c r="B262" t="s">
        <v>859</v>
      </c>
      <c r="C262" t="s">
        <v>54</v>
      </c>
      <c r="D262" t="s">
        <v>1</v>
      </c>
      <c r="E262" t="s">
        <v>115</v>
      </c>
      <c r="F262" t="s">
        <v>99</v>
      </c>
      <c r="G262" t="s">
        <v>100</v>
      </c>
      <c r="H262" t="s">
        <v>128</v>
      </c>
      <c r="I262" t="s">
        <v>100</v>
      </c>
      <c r="J262" t="s">
        <v>101</v>
      </c>
      <c r="K262" t="s">
        <v>559</v>
      </c>
      <c r="L262" t="s">
        <v>559</v>
      </c>
      <c r="M262" t="s">
        <v>100</v>
      </c>
      <c r="N262" t="s">
        <v>549</v>
      </c>
      <c r="O262" t="s">
        <v>100</v>
      </c>
      <c r="Q262" t="s">
        <v>549</v>
      </c>
      <c r="R262" t="s">
        <v>119</v>
      </c>
      <c r="S262" t="s">
        <v>130</v>
      </c>
      <c r="T262" t="s">
        <v>120</v>
      </c>
      <c r="U262" t="s">
        <v>101</v>
      </c>
      <c r="V262" t="s">
        <v>121</v>
      </c>
      <c r="W262" t="s">
        <v>122</v>
      </c>
      <c r="X262" t="s">
        <v>123</v>
      </c>
      <c r="Y262">
        <v>1</v>
      </c>
      <c r="Z262" t="s">
        <v>596</v>
      </c>
      <c r="AA262" s="280">
        <v>43285</v>
      </c>
      <c r="AB262" t="s">
        <v>114</v>
      </c>
      <c r="AC262" t="s">
        <v>124</v>
      </c>
      <c r="AD262" s="280">
        <v>44651</v>
      </c>
      <c r="AE262" t="s">
        <v>125</v>
      </c>
      <c r="AF262">
        <v>6</v>
      </c>
      <c r="AG262">
        <v>0</v>
      </c>
      <c r="AH262">
        <v>0</v>
      </c>
      <c r="AI262" t="s">
        <v>126</v>
      </c>
      <c r="AL262">
        <v>1.0082191780821916</v>
      </c>
      <c r="AN262">
        <v>1.0082191780821916</v>
      </c>
      <c r="AO262">
        <v>8.219178082191636E-3</v>
      </c>
      <c r="AP262" t="s">
        <v>1050</v>
      </c>
      <c r="AR262" t="s">
        <v>127</v>
      </c>
      <c r="AS262">
        <v>8520</v>
      </c>
      <c r="AU262">
        <v>0</v>
      </c>
      <c r="AV262">
        <v>0</v>
      </c>
      <c r="AW262">
        <v>0</v>
      </c>
      <c r="AX262">
        <v>8520</v>
      </c>
      <c r="AY262">
        <v>358.89038191644977</v>
      </c>
      <c r="AZ262">
        <v>0</v>
      </c>
      <c r="BC262">
        <v>-8161.1096180835502</v>
      </c>
      <c r="BE262" t="s">
        <v>114</v>
      </c>
      <c r="BH262">
        <v>-355.9646451073483</v>
      </c>
      <c r="BI262">
        <v>-29.663720425612357</v>
      </c>
      <c r="BK262" t="s">
        <v>116</v>
      </c>
      <c r="BL262">
        <v>0</v>
      </c>
      <c r="BM262">
        <v>-8517.0742631908979</v>
      </c>
      <c r="BR262">
        <v>0</v>
      </c>
      <c r="BS262">
        <v>2.9257368091020908</v>
      </c>
      <c r="BW262" t="s">
        <v>167</v>
      </c>
      <c r="BX262" t="s">
        <v>168</v>
      </c>
      <c r="BZ262" t="s">
        <v>938</v>
      </c>
    </row>
    <row r="263" spans="1:78">
      <c r="A263">
        <v>1122</v>
      </c>
      <c r="B263" t="s">
        <v>868</v>
      </c>
      <c r="C263" t="s">
        <v>54</v>
      </c>
      <c r="D263" t="s">
        <v>1</v>
      </c>
      <c r="E263" t="s">
        <v>115</v>
      </c>
      <c r="F263" t="s">
        <v>99</v>
      </c>
      <c r="G263" t="s">
        <v>100</v>
      </c>
      <c r="H263" t="s">
        <v>128</v>
      </c>
      <c r="I263" t="s">
        <v>100</v>
      </c>
      <c r="J263" t="s">
        <v>101</v>
      </c>
      <c r="K263" t="s">
        <v>559</v>
      </c>
      <c r="L263" t="s">
        <v>559</v>
      </c>
      <c r="M263" t="s">
        <v>100</v>
      </c>
      <c r="N263" t="s">
        <v>549</v>
      </c>
      <c r="O263" t="s">
        <v>100</v>
      </c>
      <c r="Q263" t="s">
        <v>549</v>
      </c>
      <c r="R263" t="s">
        <v>119</v>
      </c>
      <c r="S263" t="s">
        <v>130</v>
      </c>
      <c r="T263" t="s">
        <v>120</v>
      </c>
      <c r="U263" t="s">
        <v>101</v>
      </c>
      <c r="V263" t="s">
        <v>121</v>
      </c>
      <c r="W263" t="s">
        <v>122</v>
      </c>
      <c r="X263" t="s">
        <v>123</v>
      </c>
      <c r="Y263">
        <v>1</v>
      </c>
      <c r="Z263" t="s">
        <v>596</v>
      </c>
      <c r="AA263" s="280">
        <v>43285</v>
      </c>
      <c r="AB263" t="s">
        <v>114</v>
      </c>
      <c r="AC263" t="s">
        <v>124</v>
      </c>
      <c r="AD263" s="280">
        <v>44651</v>
      </c>
      <c r="AE263" t="s">
        <v>125</v>
      </c>
      <c r="AF263">
        <v>6</v>
      </c>
      <c r="AG263">
        <v>0</v>
      </c>
      <c r="AH263">
        <v>0</v>
      </c>
      <c r="AI263" t="s">
        <v>126</v>
      </c>
      <c r="AL263">
        <v>1.0082191780821916</v>
      </c>
      <c r="AN263">
        <v>1.0082191780821916</v>
      </c>
      <c r="AO263">
        <v>8.219178082191636E-3</v>
      </c>
      <c r="AP263" t="s">
        <v>1050</v>
      </c>
      <c r="AR263" t="s">
        <v>127</v>
      </c>
      <c r="AS263">
        <v>8520</v>
      </c>
      <c r="AU263">
        <v>0</v>
      </c>
      <c r="AV263">
        <v>0</v>
      </c>
      <c r="AW263">
        <v>0</v>
      </c>
      <c r="AX263">
        <v>8520</v>
      </c>
      <c r="AY263">
        <v>358.89038191644977</v>
      </c>
      <c r="AZ263">
        <v>0</v>
      </c>
      <c r="BC263">
        <v>-8161.1096180835502</v>
      </c>
      <c r="BE263" t="s">
        <v>114</v>
      </c>
      <c r="BH263">
        <v>-355.9646451073483</v>
      </c>
      <c r="BI263">
        <v>-29.663720425612357</v>
      </c>
      <c r="BK263" t="s">
        <v>116</v>
      </c>
      <c r="BL263">
        <v>0</v>
      </c>
      <c r="BM263">
        <v>-8517.0742631908979</v>
      </c>
      <c r="BR263">
        <v>0</v>
      </c>
      <c r="BS263">
        <v>2.9257368091020908</v>
      </c>
      <c r="BW263" t="s">
        <v>167</v>
      </c>
      <c r="BX263" t="s">
        <v>168</v>
      </c>
      <c r="BZ263" t="s">
        <v>938</v>
      </c>
    </row>
    <row r="264" spans="1:78">
      <c r="A264">
        <v>1123</v>
      </c>
      <c r="B264" t="s">
        <v>860</v>
      </c>
      <c r="C264" t="s">
        <v>54</v>
      </c>
      <c r="D264" t="s">
        <v>1</v>
      </c>
      <c r="E264" t="s">
        <v>115</v>
      </c>
      <c r="F264" t="s">
        <v>99</v>
      </c>
      <c r="G264" t="s">
        <v>100</v>
      </c>
      <c r="H264" t="s">
        <v>128</v>
      </c>
      <c r="I264" t="s">
        <v>100</v>
      </c>
      <c r="J264" t="s">
        <v>101</v>
      </c>
      <c r="K264" t="s">
        <v>559</v>
      </c>
      <c r="L264" t="s">
        <v>559</v>
      </c>
      <c r="M264" t="s">
        <v>100</v>
      </c>
      <c r="N264" t="s">
        <v>549</v>
      </c>
      <c r="O264" t="s">
        <v>100</v>
      </c>
      <c r="Q264" t="s">
        <v>549</v>
      </c>
      <c r="R264" t="s">
        <v>119</v>
      </c>
      <c r="S264" t="s">
        <v>130</v>
      </c>
      <c r="T264" t="s">
        <v>120</v>
      </c>
      <c r="U264" t="s">
        <v>101</v>
      </c>
      <c r="V264" t="s">
        <v>121</v>
      </c>
      <c r="W264" t="s">
        <v>122</v>
      </c>
      <c r="X264" t="s">
        <v>123</v>
      </c>
      <c r="Y264">
        <v>1</v>
      </c>
      <c r="Z264" t="s">
        <v>596</v>
      </c>
      <c r="AA264" s="280">
        <v>43285</v>
      </c>
      <c r="AB264" t="s">
        <v>114</v>
      </c>
      <c r="AC264" t="s">
        <v>124</v>
      </c>
      <c r="AD264" s="280">
        <v>44651</v>
      </c>
      <c r="AE264" t="s">
        <v>125</v>
      </c>
      <c r="AF264">
        <v>6</v>
      </c>
      <c r="AG264">
        <v>0</v>
      </c>
      <c r="AH264">
        <v>0</v>
      </c>
      <c r="AI264" t="s">
        <v>126</v>
      </c>
      <c r="AL264">
        <v>1.0082191780821916</v>
      </c>
      <c r="AN264">
        <v>1.0082191780821916</v>
      </c>
      <c r="AO264">
        <v>8.219178082191636E-3</v>
      </c>
      <c r="AP264" t="s">
        <v>1050</v>
      </c>
      <c r="AR264" t="s">
        <v>127</v>
      </c>
      <c r="AS264">
        <v>8520</v>
      </c>
      <c r="AU264">
        <v>0</v>
      </c>
      <c r="AV264">
        <v>0</v>
      </c>
      <c r="AW264">
        <v>0</v>
      </c>
      <c r="AX264">
        <v>8520</v>
      </c>
      <c r="AY264">
        <v>358.89038191644977</v>
      </c>
      <c r="AZ264">
        <v>0</v>
      </c>
      <c r="BC264">
        <v>-8161.1096180835502</v>
      </c>
      <c r="BE264" t="s">
        <v>114</v>
      </c>
      <c r="BH264">
        <v>-355.9646451073483</v>
      </c>
      <c r="BI264">
        <v>-29.663720425612357</v>
      </c>
      <c r="BK264" t="s">
        <v>116</v>
      </c>
      <c r="BL264">
        <v>0</v>
      </c>
      <c r="BM264">
        <v>-8517.0742631908979</v>
      </c>
      <c r="BR264">
        <v>0</v>
      </c>
      <c r="BS264">
        <v>2.9257368091020908</v>
      </c>
      <c r="BW264" t="s">
        <v>167</v>
      </c>
      <c r="BX264" t="s">
        <v>168</v>
      </c>
      <c r="BZ264" t="s">
        <v>945</v>
      </c>
    </row>
    <row r="265" spans="1:78">
      <c r="A265">
        <v>1124</v>
      </c>
      <c r="B265" t="s">
        <v>875</v>
      </c>
      <c r="C265" t="s">
        <v>54</v>
      </c>
      <c r="D265" t="s">
        <v>1</v>
      </c>
      <c r="E265" t="s">
        <v>115</v>
      </c>
      <c r="F265" t="s">
        <v>99</v>
      </c>
      <c r="G265" t="s">
        <v>100</v>
      </c>
      <c r="H265" t="s">
        <v>128</v>
      </c>
      <c r="I265" t="s">
        <v>100</v>
      </c>
      <c r="J265" t="s">
        <v>101</v>
      </c>
      <c r="K265" t="s">
        <v>559</v>
      </c>
      <c r="L265" t="s">
        <v>559</v>
      </c>
      <c r="M265" t="s">
        <v>100</v>
      </c>
      <c r="N265" t="s">
        <v>549</v>
      </c>
      <c r="O265" t="s">
        <v>100</v>
      </c>
      <c r="Q265" t="s">
        <v>549</v>
      </c>
      <c r="R265" t="s">
        <v>119</v>
      </c>
      <c r="S265" t="s">
        <v>130</v>
      </c>
      <c r="T265" t="s">
        <v>120</v>
      </c>
      <c r="U265" t="s">
        <v>101</v>
      </c>
      <c r="V265" t="s">
        <v>121</v>
      </c>
      <c r="W265" t="s">
        <v>122</v>
      </c>
      <c r="X265" t="s">
        <v>123</v>
      </c>
      <c r="Y265">
        <v>1</v>
      </c>
      <c r="Z265" t="s">
        <v>596</v>
      </c>
      <c r="AA265" s="280">
        <v>43285</v>
      </c>
      <c r="AB265" t="s">
        <v>114</v>
      </c>
      <c r="AC265" t="s">
        <v>124</v>
      </c>
      <c r="AD265" s="280">
        <v>44651</v>
      </c>
      <c r="AE265" t="s">
        <v>125</v>
      </c>
      <c r="AF265">
        <v>6</v>
      </c>
      <c r="AG265">
        <v>0</v>
      </c>
      <c r="AH265">
        <v>0</v>
      </c>
      <c r="AI265" t="s">
        <v>126</v>
      </c>
      <c r="AL265">
        <v>1.0082191780821916</v>
      </c>
      <c r="AN265">
        <v>1.0082191780821916</v>
      </c>
      <c r="AO265">
        <v>8.219178082191636E-3</v>
      </c>
      <c r="AP265" t="s">
        <v>1050</v>
      </c>
      <c r="AR265" t="s">
        <v>127</v>
      </c>
      <c r="AS265">
        <v>8520</v>
      </c>
      <c r="AU265">
        <v>0</v>
      </c>
      <c r="AV265">
        <v>0</v>
      </c>
      <c r="AW265">
        <v>0</v>
      </c>
      <c r="AX265">
        <v>8520</v>
      </c>
      <c r="AY265">
        <v>358.89038191644977</v>
      </c>
      <c r="AZ265">
        <v>0</v>
      </c>
      <c r="BC265">
        <v>-8161.1096180835502</v>
      </c>
      <c r="BE265" t="s">
        <v>114</v>
      </c>
      <c r="BH265">
        <v>-355.9646451073483</v>
      </c>
      <c r="BI265">
        <v>-29.663720425612357</v>
      </c>
      <c r="BK265" t="s">
        <v>116</v>
      </c>
      <c r="BL265">
        <v>0</v>
      </c>
      <c r="BM265">
        <v>-8517.0742631908979</v>
      </c>
      <c r="BR265">
        <v>0</v>
      </c>
      <c r="BS265">
        <v>2.9257368091020908</v>
      </c>
      <c r="BW265" t="s">
        <v>167</v>
      </c>
      <c r="BX265" t="s">
        <v>168</v>
      </c>
      <c r="BZ265" t="s">
        <v>1017</v>
      </c>
    </row>
    <row r="266" spans="1:78">
      <c r="A266">
        <v>1203</v>
      </c>
      <c r="B266" t="s">
        <v>856</v>
      </c>
      <c r="C266" t="s">
        <v>54</v>
      </c>
      <c r="D266" t="s">
        <v>1</v>
      </c>
      <c r="E266" t="s">
        <v>115</v>
      </c>
      <c r="F266" t="s">
        <v>99</v>
      </c>
      <c r="G266" t="s">
        <v>100</v>
      </c>
      <c r="H266" t="s">
        <v>128</v>
      </c>
      <c r="I266" t="s">
        <v>100</v>
      </c>
      <c r="J266" t="s">
        <v>101</v>
      </c>
      <c r="K266" t="s">
        <v>559</v>
      </c>
      <c r="L266" t="s">
        <v>559</v>
      </c>
      <c r="M266" t="s">
        <v>100</v>
      </c>
      <c r="N266" t="s">
        <v>550</v>
      </c>
      <c r="O266" t="s">
        <v>100</v>
      </c>
      <c r="Q266" t="s">
        <v>550</v>
      </c>
      <c r="R266" t="s">
        <v>119</v>
      </c>
      <c r="S266" t="s">
        <v>130</v>
      </c>
      <c r="T266" t="s">
        <v>120</v>
      </c>
      <c r="U266" t="s">
        <v>101</v>
      </c>
      <c r="V266" t="s">
        <v>121</v>
      </c>
      <c r="W266" t="s">
        <v>122</v>
      </c>
      <c r="X266" t="s">
        <v>123</v>
      </c>
      <c r="Y266">
        <v>1</v>
      </c>
      <c r="Z266" t="s">
        <v>596</v>
      </c>
      <c r="AA266" s="280">
        <v>43285</v>
      </c>
      <c r="AB266" t="s">
        <v>114</v>
      </c>
      <c r="AC266" t="s">
        <v>124</v>
      </c>
      <c r="AD266" s="280">
        <v>44651</v>
      </c>
      <c r="AE266" t="s">
        <v>125</v>
      </c>
      <c r="AF266">
        <v>6</v>
      </c>
      <c r="AG266">
        <v>0</v>
      </c>
      <c r="AH266">
        <v>0</v>
      </c>
      <c r="AI266" t="s">
        <v>126</v>
      </c>
      <c r="AL266">
        <v>1.0082191780821916</v>
      </c>
      <c r="AN266">
        <v>1.0082191780821916</v>
      </c>
      <c r="AO266">
        <v>8.219178082191636E-3</v>
      </c>
      <c r="AP266" t="s">
        <v>1051</v>
      </c>
      <c r="AR266" t="s">
        <v>127</v>
      </c>
      <c r="AS266">
        <v>3000</v>
      </c>
      <c r="AU266">
        <v>0</v>
      </c>
      <c r="AV266">
        <v>0</v>
      </c>
      <c r="AW266">
        <v>0</v>
      </c>
      <c r="AX266">
        <v>3000</v>
      </c>
      <c r="AY266">
        <v>126.36985278748261</v>
      </c>
      <c r="AZ266">
        <v>0</v>
      </c>
      <c r="BC266">
        <v>-2873.6301472125174</v>
      </c>
      <c r="BE266" t="s">
        <v>114</v>
      </c>
      <c r="BH266">
        <v>-125.33966377019337</v>
      </c>
      <c r="BI266">
        <v>-10.444971980849447</v>
      </c>
      <c r="BK266" t="s">
        <v>116</v>
      </c>
      <c r="BL266">
        <v>0</v>
      </c>
      <c r="BM266">
        <v>-2998.9698109827109</v>
      </c>
      <c r="BR266">
        <v>0</v>
      </c>
      <c r="BS266">
        <v>1.0301890172891035</v>
      </c>
      <c r="BW266" t="s">
        <v>167</v>
      </c>
      <c r="BX266" t="s">
        <v>168</v>
      </c>
      <c r="BZ266" t="s">
        <v>940</v>
      </c>
    </row>
    <row r="267" spans="1:78">
      <c r="A267">
        <v>1204</v>
      </c>
      <c r="B267" t="s">
        <v>854</v>
      </c>
      <c r="C267" t="s">
        <v>54</v>
      </c>
      <c r="D267" t="s">
        <v>1</v>
      </c>
      <c r="E267" t="s">
        <v>115</v>
      </c>
      <c r="F267" t="s">
        <v>99</v>
      </c>
      <c r="G267" t="s">
        <v>100</v>
      </c>
      <c r="H267" t="s">
        <v>128</v>
      </c>
      <c r="I267" t="s">
        <v>100</v>
      </c>
      <c r="J267" t="s">
        <v>101</v>
      </c>
      <c r="K267" t="s">
        <v>559</v>
      </c>
      <c r="L267" t="s">
        <v>559</v>
      </c>
      <c r="M267" t="s">
        <v>100</v>
      </c>
      <c r="N267" t="s">
        <v>550</v>
      </c>
      <c r="O267" t="s">
        <v>100</v>
      </c>
      <c r="Q267" t="s">
        <v>550</v>
      </c>
      <c r="R267" t="s">
        <v>119</v>
      </c>
      <c r="S267" t="s">
        <v>130</v>
      </c>
      <c r="T267" t="s">
        <v>120</v>
      </c>
      <c r="U267" t="s">
        <v>101</v>
      </c>
      <c r="V267" t="s">
        <v>121</v>
      </c>
      <c r="W267" t="s">
        <v>122</v>
      </c>
      <c r="X267" t="s">
        <v>123</v>
      </c>
      <c r="Y267">
        <v>1</v>
      </c>
      <c r="Z267" t="s">
        <v>596</v>
      </c>
      <c r="AA267" s="280">
        <v>43285</v>
      </c>
      <c r="AB267" t="s">
        <v>114</v>
      </c>
      <c r="AC267" t="s">
        <v>124</v>
      </c>
      <c r="AD267" s="280">
        <v>44651</v>
      </c>
      <c r="AE267" t="s">
        <v>125</v>
      </c>
      <c r="AF267">
        <v>6</v>
      </c>
      <c r="AG267">
        <v>0</v>
      </c>
      <c r="AH267">
        <v>0</v>
      </c>
      <c r="AI267" t="s">
        <v>126</v>
      </c>
      <c r="AL267">
        <v>1.0082191780821916</v>
      </c>
      <c r="AN267">
        <v>1.0082191780821916</v>
      </c>
      <c r="AO267">
        <v>8.219178082191636E-3</v>
      </c>
      <c r="AP267" t="s">
        <v>1050</v>
      </c>
      <c r="AR267" t="s">
        <v>127</v>
      </c>
      <c r="AS267">
        <v>3000</v>
      </c>
      <c r="AU267">
        <v>0</v>
      </c>
      <c r="AV267">
        <v>0</v>
      </c>
      <c r="AW267">
        <v>0</v>
      </c>
      <c r="AX267">
        <v>3000</v>
      </c>
      <c r="AY267">
        <v>126.36985278748261</v>
      </c>
      <c r="AZ267">
        <v>0</v>
      </c>
      <c r="BC267">
        <v>-2873.6301472125174</v>
      </c>
      <c r="BE267" t="s">
        <v>114</v>
      </c>
      <c r="BH267">
        <v>-125.33966377019337</v>
      </c>
      <c r="BI267">
        <v>-10.444971980849447</v>
      </c>
      <c r="BK267" t="s">
        <v>116</v>
      </c>
      <c r="BL267">
        <v>0</v>
      </c>
      <c r="BM267">
        <v>-2998.9698109827109</v>
      </c>
      <c r="BR267">
        <v>0</v>
      </c>
      <c r="BS267">
        <v>1.0301890172891035</v>
      </c>
      <c r="BW267" t="s">
        <v>167</v>
      </c>
      <c r="BX267" t="s">
        <v>168</v>
      </c>
      <c r="BZ267" t="s">
        <v>940</v>
      </c>
    </row>
    <row r="268" spans="1:78">
      <c r="A268">
        <v>1219</v>
      </c>
      <c r="B268" t="s">
        <v>868</v>
      </c>
      <c r="C268" t="s">
        <v>54</v>
      </c>
      <c r="D268" t="s">
        <v>1</v>
      </c>
      <c r="E268" t="s">
        <v>115</v>
      </c>
      <c r="F268" t="s">
        <v>99</v>
      </c>
      <c r="G268" t="s">
        <v>100</v>
      </c>
      <c r="H268" t="s">
        <v>128</v>
      </c>
      <c r="I268" t="s">
        <v>100</v>
      </c>
      <c r="J268" t="s">
        <v>101</v>
      </c>
      <c r="K268" t="s">
        <v>559</v>
      </c>
      <c r="L268" t="s">
        <v>559</v>
      </c>
      <c r="M268" t="s">
        <v>100</v>
      </c>
      <c r="N268" t="s">
        <v>551</v>
      </c>
      <c r="O268" t="s">
        <v>100</v>
      </c>
      <c r="Q268" t="s">
        <v>551</v>
      </c>
      <c r="R268" t="s">
        <v>119</v>
      </c>
      <c r="S268" t="s">
        <v>130</v>
      </c>
      <c r="T268" t="s">
        <v>120</v>
      </c>
      <c r="U268" t="s">
        <v>101</v>
      </c>
      <c r="V268" t="s">
        <v>121</v>
      </c>
      <c r="W268" t="s">
        <v>122</v>
      </c>
      <c r="X268" t="s">
        <v>123</v>
      </c>
      <c r="Y268">
        <v>1</v>
      </c>
      <c r="Z268" t="s">
        <v>596</v>
      </c>
      <c r="AA268" s="280">
        <v>43285</v>
      </c>
      <c r="AB268" t="s">
        <v>114</v>
      </c>
      <c r="AC268" t="s">
        <v>124</v>
      </c>
      <c r="AD268" s="280">
        <v>44651</v>
      </c>
      <c r="AE268" t="s">
        <v>125</v>
      </c>
      <c r="AF268">
        <v>6</v>
      </c>
      <c r="AG268">
        <v>0</v>
      </c>
      <c r="AH268">
        <v>0</v>
      </c>
      <c r="AI268" t="s">
        <v>126</v>
      </c>
      <c r="AL268">
        <v>1.0082191780821916</v>
      </c>
      <c r="AN268">
        <v>1.0082191780821916</v>
      </c>
      <c r="AO268">
        <v>8.219178082191636E-3</v>
      </c>
      <c r="AP268" t="s">
        <v>1050</v>
      </c>
      <c r="AR268" t="s">
        <v>127</v>
      </c>
      <c r="AS268">
        <v>5400</v>
      </c>
      <c r="AU268">
        <v>0</v>
      </c>
      <c r="AV268">
        <v>0</v>
      </c>
      <c r="AW268">
        <v>0</v>
      </c>
      <c r="AX268">
        <v>5400</v>
      </c>
      <c r="AY268">
        <v>227.46573501746843</v>
      </c>
      <c r="AZ268">
        <v>0</v>
      </c>
      <c r="BC268">
        <v>-5172.5342649825316</v>
      </c>
      <c r="BE268" t="s">
        <v>114</v>
      </c>
      <c r="BH268">
        <v>-225.6113947863478</v>
      </c>
      <c r="BI268">
        <v>-18.800949565528985</v>
      </c>
      <c r="BK268" t="s">
        <v>116</v>
      </c>
      <c r="BL268">
        <v>0</v>
      </c>
      <c r="BM268">
        <v>-5398.1456597688793</v>
      </c>
      <c r="BR268">
        <v>0</v>
      </c>
      <c r="BS268">
        <v>1.8543402311206592</v>
      </c>
      <c r="BW268" t="s">
        <v>167</v>
      </c>
      <c r="BX268" t="s">
        <v>168</v>
      </c>
      <c r="BZ268" t="s">
        <v>961</v>
      </c>
    </row>
    <row r="269" spans="1:78">
      <c r="A269">
        <v>1125</v>
      </c>
      <c r="B269" t="s">
        <v>886</v>
      </c>
      <c r="C269" t="s">
        <v>54</v>
      </c>
      <c r="D269" t="s">
        <v>1</v>
      </c>
      <c r="E269" t="s">
        <v>115</v>
      </c>
      <c r="F269" t="s">
        <v>99</v>
      </c>
      <c r="G269" t="s">
        <v>100</v>
      </c>
      <c r="H269" t="s">
        <v>128</v>
      </c>
      <c r="I269" t="s">
        <v>100</v>
      </c>
      <c r="J269" t="s">
        <v>101</v>
      </c>
      <c r="K269" t="s">
        <v>559</v>
      </c>
      <c r="L269" t="s">
        <v>559</v>
      </c>
      <c r="M269" t="s">
        <v>100</v>
      </c>
      <c r="N269" t="s">
        <v>549</v>
      </c>
      <c r="O269" t="s">
        <v>100</v>
      </c>
      <c r="Q269" t="s">
        <v>549</v>
      </c>
      <c r="R269" t="s">
        <v>119</v>
      </c>
      <c r="S269" t="s">
        <v>130</v>
      </c>
      <c r="T269" t="s">
        <v>120</v>
      </c>
      <c r="U269" t="s">
        <v>101</v>
      </c>
      <c r="V269" t="s">
        <v>121</v>
      </c>
      <c r="W269" t="s">
        <v>122</v>
      </c>
      <c r="X269" t="s">
        <v>123</v>
      </c>
      <c r="Y269">
        <v>1</v>
      </c>
      <c r="Z269" t="s">
        <v>596</v>
      </c>
      <c r="AA269" s="280">
        <v>43285</v>
      </c>
      <c r="AB269" t="s">
        <v>114</v>
      </c>
      <c r="AC269" t="s">
        <v>124</v>
      </c>
      <c r="AD269" s="280">
        <v>44651</v>
      </c>
      <c r="AE269" t="s">
        <v>125</v>
      </c>
      <c r="AF269">
        <v>6</v>
      </c>
      <c r="AG269">
        <v>0</v>
      </c>
      <c r="AH269">
        <v>0</v>
      </c>
      <c r="AI269" t="s">
        <v>126</v>
      </c>
      <c r="AL269">
        <v>1.0082191780821916</v>
      </c>
      <c r="AN269">
        <v>1.0082191780821916</v>
      </c>
      <c r="AO269">
        <v>8.219178082191636E-3</v>
      </c>
      <c r="AP269" t="s">
        <v>1050</v>
      </c>
      <c r="AR269" t="s">
        <v>127</v>
      </c>
      <c r="AS269">
        <v>8520</v>
      </c>
      <c r="AU269">
        <v>0</v>
      </c>
      <c r="AV269">
        <v>0</v>
      </c>
      <c r="AW269">
        <v>0</v>
      </c>
      <c r="AX269">
        <v>8520</v>
      </c>
      <c r="AY269">
        <v>358.89038191644977</v>
      </c>
      <c r="AZ269">
        <v>0</v>
      </c>
      <c r="BC269">
        <v>-8161.1096180835502</v>
      </c>
      <c r="BE269" t="s">
        <v>114</v>
      </c>
      <c r="BH269">
        <v>-355.9646451073483</v>
      </c>
      <c r="BI269">
        <v>-29.663720425612357</v>
      </c>
      <c r="BK269" t="s">
        <v>116</v>
      </c>
      <c r="BL269">
        <v>0</v>
      </c>
      <c r="BM269">
        <v>-8517.0742631908979</v>
      </c>
      <c r="BR269">
        <v>0</v>
      </c>
      <c r="BS269">
        <v>2.9257368091020908</v>
      </c>
      <c r="BW269" t="s">
        <v>167</v>
      </c>
      <c r="BX269" t="s">
        <v>168</v>
      </c>
      <c r="BZ269" t="s">
        <v>998</v>
      </c>
    </row>
    <row r="270" spans="1:78">
      <c r="A270">
        <v>1126</v>
      </c>
      <c r="B270" t="s">
        <v>851</v>
      </c>
      <c r="C270" t="s">
        <v>54</v>
      </c>
      <c r="D270" t="s">
        <v>1</v>
      </c>
      <c r="E270" t="s">
        <v>115</v>
      </c>
      <c r="F270" t="s">
        <v>99</v>
      </c>
      <c r="G270" t="s">
        <v>100</v>
      </c>
      <c r="H270" t="s">
        <v>128</v>
      </c>
      <c r="I270" t="s">
        <v>100</v>
      </c>
      <c r="J270" t="s">
        <v>101</v>
      </c>
      <c r="K270" t="s">
        <v>559</v>
      </c>
      <c r="L270" t="s">
        <v>559</v>
      </c>
      <c r="M270" t="s">
        <v>100</v>
      </c>
      <c r="N270" t="s">
        <v>549</v>
      </c>
      <c r="O270" t="s">
        <v>100</v>
      </c>
      <c r="Q270" t="s">
        <v>549</v>
      </c>
      <c r="R270" t="s">
        <v>119</v>
      </c>
      <c r="S270" t="s">
        <v>130</v>
      </c>
      <c r="T270" t="s">
        <v>120</v>
      </c>
      <c r="U270" t="s">
        <v>101</v>
      </c>
      <c r="V270" t="s">
        <v>121</v>
      </c>
      <c r="W270" t="s">
        <v>122</v>
      </c>
      <c r="X270" t="s">
        <v>123</v>
      </c>
      <c r="Y270">
        <v>1</v>
      </c>
      <c r="Z270" t="s">
        <v>596</v>
      </c>
      <c r="AA270" s="280">
        <v>43285</v>
      </c>
      <c r="AB270" t="s">
        <v>114</v>
      </c>
      <c r="AC270" t="s">
        <v>124</v>
      </c>
      <c r="AD270" s="280">
        <v>44651</v>
      </c>
      <c r="AE270" t="s">
        <v>125</v>
      </c>
      <c r="AF270">
        <v>6</v>
      </c>
      <c r="AG270">
        <v>0</v>
      </c>
      <c r="AH270">
        <v>0</v>
      </c>
      <c r="AI270" t="s">
        <v>126</v>
      </c>
      <c r="AL270">
        <v>1.0082191780821916</v>
      </c>
      <c r="AN270">
        <v>1.0082191780821916</v>
      </c>
      <c r="AO270">
        <v>8.219178082191636E-3</v>
      </c>
      <c r="AP270" t="s">
        <v>1050</v>
      </c>
      <c r="AR270" t="s">
        <v>127</v>
      </c>
      <c r="AS270">
        <v>8520</v>
      </c>
      <c r="AU270">
        <v>0</v>
      </c>
      <c r="AV270">
        <v>0</v>
      </c>
      <c r="AW270">
        <v>0</v>
      </c>
      <c r="AX270">
        <v>8520</v>
      </c>
      <c r="AY270">
        <v>358.89038191644977</v>
      </c>
      <c r="AZ270">
        <v>0</v>
      </c>
      <c r="BC270">
        <v>-8161.1096180835502</v>
      </c>
      <c r="BE270" t="s">
        <v>114</v>
      </c>
      <c r="BH270">
        <v>-355.9646451073483</v>
      </c>
      <c r="BI270">
        <v>-29.663720425612357</v>
      </c>
      <c r="BK270" t="s">
        <v>116</v>
      </c>
      <c r="BL270">
        <v>0</v>
      </c>
      <c r="BM270">
        <v>-8517.0742631908979</v>
      </c>
      <c r="BR270">
        <v>0</v>
      </c>
      <c r="BS270">
        <v>2.9257368091020908</v>
      </c>
      <c r="BW270" t="s">
        <v>167</v>
      </c>
      <c r="BX270" t="s">
        <v>168</v>
      </c>
      <c r="BZ270" t="s">
        <v>938</v>
      </c>
    </row>
    <row r="271" spans="1:78">
      <c r="A271">
        <v>1128</v>
      </c>
      <c r="B271" t="s">
        <v>868</v>
      </c>
      <c r="C271" t="s">
        <v>54</v>
      </c>
      <c r="D271" t="s">
        <v>1</v>
      </c>
      <c r="E271" t="s">
        <v>115</v>
      </c>
      <c r="F271" t="s">
        <v>99</v>
      </c>
      <c r="G271" t="s">
        <v>100</v>
      </c>
      <c r="H271" t="s">
        <v>128</v>
      </c>
      <c r="I271" t="s">
        <v>100</v>
      </c>
      <c r="J271" t="s">
        <v>101</v>
      </c>
      <c r="K271" t="s">
        <v>559</v>
      </c>
      <c r="L271" t="s">
        <v>559</v>
      </c>
      <c r="M271" t="s">
        <v>100</v>
      </c>
      <c r="N271" t="s">
        <v>549</v>
      </c>
      <c r="O271" t="s">
        <v>100</v>
      </c>
      <c r="Q271" t="s">
        <v>549</v>
      </c>
      <c r="R271" t="s">
        <v>119</v>
      </c>
      <c r="S271" t="s">
        <v>130</v>
      </c>
      <c r="T271" t="s">
        <v>120</v>
      </c>
      <c r="U271" t="s">
        <v>101</v>
      </c>
      <c r="V271" t="s">
        <v>121</v>
      </c>
      <c r="W271" t="s">
        <v>122</v>
      </c>
      <c r="X271" t="s">
        <v>123</v>
      </c>
      <c r="Y271">
        <v>1</v>
      </c>
      <c r="Z271" t="s">
        <v>596</v>
      </c>
      <c r="AA271" s="280">
        <v>43285</v>
      </c>
      <c r="AB271" t="s">
        <v>114</v>
      </c>
      <c r="AC271" t="s">
        <v>124</v>
      </c>
      <c r="AD271" s="280">
        <v>44651</v>
      </c>
      <c r="AE271" t="s">
        <v>125</v>
      </c>
      <c r="AF271">
        <v>6</v>
      </c>
      <c r="AG271">
        <v>0</v>
      </c>
      <c r="AH271">
        <v>0</v>
      </c>
      <c r="AI271" t="s">
        <v>126</v>
      </c>
      <c r="AL271">
        <v>1.0082191780821916</v>
      </c>
      <c r="AN271">
        <v>1.0082191780821916</v>
      </c>
      <c r="AO271">
        <v>8.219178082191636E-3</v>
      </c>
      <c r="AP271" t="s">
        <v>1050</v>
      </c>
      <c r="AR271" t="s">
        <v>127</v>
      </c>
      <c r="AS271">
        <v>8520</v>
      </c>
      <c r="AU271">
        <v>0</v>
      </c>
      <c r="AV271">
        <v>0</v>
      </c>
      <c r="AW271">
        <v>0</v>
      </c>
      <c r="AX271">
        <v>8520</v>
      </c>
      <c r="AY271">
        <v>358.89038191644977</v>
      </c>
      <c r="AZ271">
        <v>0</v>
      </c>
      <c r="BC271">
        <v>-8161.1096180835502</v>
      </c>
      <c r="BE271" t="s">
        <v>114</v>
      </c>
      <c r="BH271">
        <v>-355.9646451073483</v>
      </c>
      <c r="BI271">
        <v>-29.663720425612357</v>
      </c>
      <c r="BK271" t="s">
        <v>116</v>
      </c>
      <c r="BL271">
        <v>0</v>
      </c>
      <c r="BM271">
        <v>-8517.0742631908979</v>
      </c>
      <c r="BR271">
        <v>0</v>
      </c>
      <c r="BS271">
        <v>2.9257368091020908</v>
      </c>
      <c r="BW271" t="s">
        <v>167</v>
      </c>
      <c r="BX271" t="s">
        <v>168</v>
      </c>
      <c r="BZ271" t="s">
        <v>938</v>
      </c>
    </row>
    <row r="272" spans="1:78">
      <c r="A272">
        <v>1129</v>
      </c>
      <c r="B272" t="s">
        <v>885</v>
      </c>
      <c r="C272" t="s">
        <v>54</v>
      </c>
      <c r="D272" t="s">
        <v>1</v>
      </c>
      <c r="E272" t="s">
        <v>115</v>
      </c>
      <c r="F272" t="s">
        <v>99</v>
      </c>
      <c r="G272" t="s">
        <v>100</v>
      </c>
      <c r="H272" t="s">
        <v>128</v>
      </c>
      <c r="I272" t="s">
        <v>100</v>
      </c>
      <c r="J272" t="s">
        <v>101</v>
      </c>
      <c r="K272" t="s">
        <v>559</v>
      </c>
      <c r="L272" t="s">
        <v>559</v>
      </c>
      <c r="M272" t="s">
        <v>100</v>
      </c>
      <c r="N272" t="s">
        <v>549</v>
      </c>
      <c r="O272" t="s">
        <v>100</v>
      </c>
      <c r="Q272" t="s">
        <v>549</v>
      </c>
      <c r="R272" t="s">
        <v>119</v>
      </c>
      <c r="S272" t="s">
        <v>130</v>
      </c>
      <c r="T272" t="s">
        <v>120</v>
      </c>
      <c r="U272" t="s">
        <v>101</v>
      </c>
      <c r="V272" t="s">
        <v>121</v>
      </c>
      <c r="W272" t="s">
        <v>122</v>
      </c>
      <c r="X272" t="s">
        <v>123</v>
      </c>
      <c r="Y272">
        <v>1</v>
      </c>
      <c r="Z272" t="s">
        <v>596</v>
      </c>
      <c r="AA272" s="280">
        <v>43285</v>
      </c>
      <c r="AB272" t="s">
        <v>114</v>
      </c>
      <c r="AC272" t="s">
        <v>124</v>
      </c>
      <c r="AD272" s="280">
        <v>44651</v>
      </c>
      <c r="AE272" t="s">
        <v>125</v>
      </c>
      <c r="AF272">
        <v>6</v>
      </c>
      <c r="AG272">
        <v>0</v>
      </c>
      <c r="AH272">
        <v>0</v>
      </c>
      <c r="AI272" t="s">
        <v>126</v>
      </c>
      <c r="AL272">
        <v>1.0082191780821916</v>
      </c>
      <c r="AN272">
        <v>1.0082191780821916</v>
      </c>
      <c r="AO272">
        <v>8.219178082191636E-3</v>
      </c>
      <c r="AP272" t="s">
        <v>1050</v>
      </c>
      <c r="AR272" t="s">
        <v>127</v>
      </c>
      <c r="AS272">
        <v>8520</v>
      </c>
      <c r="AU272">
        <v>0</v>
      </c>
      <c r="AV272">
        <v>0</v>
      </c>
      <c r="AW272">
        <v>0</v>
      </c>
      <c r="AX272">
        <v>8520</v>
      </c>
      <c r="AY272">
        <v>358.89038191644977</v>
      </c>
      <c r="AZ272">
        <v>0</v>
      </c>
      <c r="BC272">
        <v>-8161.1096180835502</v>
      </c>
      <c r="BE272" t="s">
        <v>114</v>
      </c>
      <c r="BH272">
        <v>-355.9646451073483</v>
      </c>
      <c r="BI272">
        <v>-29.663720425612357</v>
      </c>
      <c r="BK272" t="s">
        <v>116</v>
      </c>
      <c r="BL272">
        <v>0</v>
      </c>
      <c r="BM272">
        <v>-8517.0742631908979</v>
      </c>
      <c r="BR272">
        <v>0</v>
      </c>
      <c r="BS272">
        <v>2.9257368091020908</v>
      </c>
      <c r="BW272" t="s">
        <v>167</v>
      </c>
      <c r="BX272" t="s">
        <v>168</v>
      </c>
      <c r="BZ272" t="s">
        <v>974</v>
      </c>
    </row>
    <row r="273" spans="1:78">
      <c r="A273">
        <v>1131</v>
      </c>
      <c r="B273" t="s">
        <v>866</v>
      </c>
      <c r="C273" t="s">
        <v>54</v>
      </c>
      <c r="D273" t="s">
        <v>1</v>
      </c>
      <c r="E273" t="s">
        <v>115</v>
      </c>
      <c r="F273" t="s">
        <v>99</v>
      </c>
      <c r="G273" t="s">
        <v>100</v>
      </c>
      <c r="H273" t="s">
        <v>128</v>
      </c>
      <c r="I273" t="s">
        <v>100</v>
      </c>
      <c r="J273" t="s">
        <v>101</v>
      </c>
      <c r="K273" t="s">
        <v>559</v>
      </c>
      <c r="L273" t="s">
        <v>559</v>
      </c>
      <c r="M273" t="s">
        <v>100</v>
      </c>
      <c r="N273" t="s">
        <v>549</v>
      </c>
      <c r="O273" t="s">
        <v>100</v>
      </c>
      <c r="Q273" t="s">
        <v>549</v>
      </c>
      <c r="R273" t="s">
        <v>119</v>
      </c>
      <c r="S273" t="s">
        <v>130</v>
      </c>
      <c r="T273" t="s">
        <v>120</v>
      </c>
      <c r="U273" t="s">
        <v>101</v>
      </c>
      <c r="V273" t="s">
        <v>121</v>
      </c>
      <c r="W273" t="s">
        <v>122</v>
      </c>
      <c r="X273" t="s">
        <v>123</v>
      </c>
      <c r="Y273">
        <v>1</v>
      </c>
      <c r="Z273" t="s">
        <v>596</v>
      </c>
      <c r="AA273" s="280">
        <v>43285</v>
      </c>
      <c r="AB273" t="s">
        <v>114</v>
      </c>
      <c r="AC273" t="s">
        <v>124</v>
      </c>
      <c r="AD273" s="280">
        <v>44651</v>
      </c>
      <c r="AE273" t="s">
        <v>125</v>
      </c>
      <c r="AF273">
        <v>6</v>
      </c>
      <c r="AG273">
        <v>0</v>
      </c>
      <c r="AH273">
        <v>0</v>
      </c>
      <c r="AI273" t="s">
        <v>126</v>
      </c>
      <c r="AL273">
        <v>1.0082191780821916</v>
      </c>
      <c r="AN273">
        <v>1.0082191780821916</v>
      </c>
      <c r="AO273">
        <v>8.219178082191636E-3</v>
      </c>
      <c r="AP273" t="s">
        <v>1050</v>
      </c>
      <c r="AR273" t="s">
        <v>127</v>
      </c>
      <c r="AS273">
        <v>8520</v>
      </c>
      <c r="AU273">
        <v>0</v>
      </c>
      <c r="AV273">
        <v>0</v>
      </c>
      <c r="AW273">
        <v>0</v>
      </c>
      <c r="AX273">
        <v>8520</v>
      </c>
      <c r="AY273">
        <v>358.89038191644977</v>
      </c>
      <c r="AZ273">
        <v>0</v>
      </c>
      <c r="BC273">
        <v>-8161.1096180835502</v>
      </c>
      <c r="BE273" t="s">
        <v>114</v>
      </c>
      <c r="BH273">
        <v>-355.9646451073483</v>
      </c>
      <c r="BI273">
        <v>-29.663720425612357</v>
      </c>
      <c r="BK273" t="s">
        <v>116</v>
      </c>
      <c r="BL273">
        <v>0</v>
      </c>
      <c r="BM273">
        <v>-8517.0742631908979</v>
      </c>
      <c r="BR273">
        <v>0</v>
      </c>
      <c r="BS273">
        <v>2.9257368091020908</v>
      </c>
      <c r="BW273" t="s">
        <v>167</v>
      </c>
      <c r="BX273" t="s">
        <v>168</v>
      </c>
      <c r="BZ273" t="s">
        <v>983</v>
      </c>
    </row>
    <row r="274" spans="1:78">
      <c r="A274">
        <v>1132</v>
      </c>
      <c r="B274" t="s">
        <v>859</v>
      </c>
      <c r="C274" t="s">
        <v>54</v>
      </c>
      <c r="D274" t="s">
        <v>1</v>
      </c>
      <c r="E274" t="s">
        <v>115</v>
      </c>
      <c r="F274" t="s">
        <v>99</v>
      </c>
      <c r="G274" t="s">
        <v>100</v>
      </c>
      <c r="H274" t="s">
        <v>128</v>
      </c>
      <c r="I274" t="s">
        <v>100</v>
      </c>
      <c r="J274" t="s">
        <v>101</v>
      </c>
      <c r="K274" t="s">
        <v>559</v>
      </c>
      <c r="L274" t="s">
        <v>559</v>
      </c>
      <c r="M274" t="s">
        <v>100</v>
      </c>
      <c r="N274" t="s">
        <v>549</v>
      </c>
      <c r="O274" t="s">
        <v>100</v>
      </c>
      <c r="Q274" t="s">
        <v>549</v>
      </c>
      <c r="R274" t="s">
        <v>119</v>
      </c>
      <c r="S274" t="s">
        <v>130</v>
      </c>
      <c r="T274" t="s">
        <v>120</v>
      </c>
      <c r="U274" t="s">
        <v>101</v>
      </c>
      <c r="V274" t="s">
        <v>121</v>
      </c>
      <c r="W274" t="s">
        <v>122</v>
      </c>
      <c r="X274" t="s">
        <v>123</v>
      </c>
      <c r="Y274">
        <v>1</v>
      </c>
      <c r="Z274" t="s">
        <v>596</v>
      </c>
      <c r="AA274" s="280">
        <v>43285</v>
      </c>
      <c r="AB274" t="s">
        <v>114</v>
      </c>
      <c r="AC274" t="s">
        <v>124</v>
      </c>
      <c r="AD274" s="280">
        <v>44651</v>
      </c>
      <c r="AE274" t="s">
        <v>125</v>
      </c>
      <c r="AF274">
        <v>6</v>
      </c>
      <c r="AG274">
        <v>0</v>
      </c>
      <c r="AH274">
        <v>0</v>
      </c>
      <c r="AI274" t="s">
        <v>126</v>
      </c>
      <c r="AL274">
        <v>1.0082191780821916</v>
      </c>
      <c r="AN274">
        <v>1.0082191780821916</v>
      </c>
      <c r="AO274">
        <v>8.219178082191636E-3</v>
      </c>
      <c r="AP274" t="s">
        <v>1050</v>
      </c>
      <c r="AR274" t="s">
        <v>127</v>
      </c>
      <c r="AS274">
        <v>8520</v>
      </c>
      <c r="AU274">
        <v>0</v>
      </c>
      <c r="AV274">
        <v>0</v>
      </c>
      <c r="AW274">
        <v>0</v>
      </c>
      <c r="AX274">
        <v>8520</v>
      </c>
      <c r="AY274">
        <v>358.89038191644977</v>
      </c>
      <c r="AZ274">
        <v>0</v>
      </c>
      <c r="BC274">
        <v>-8161.1096180835502</v>
      </c>
      <c r="BE274" t="s">
        <v>114</v>
      </c>
      <c r="BH274">
        <v>-355.9646451073483</v>
      </c>
      <c r="BI274">
        <v>-29.663720425612357</v>
      </c>
      <c r="BK274" t="s">
        <v>116</v>
      </c>
      <c r="BL274">
        <v>0</v>
      </c>
      <c r="BM274">
        <v>-8517.0742631908979</v>
      </c>
      <c r="BR274">
        <v>0</v>
      </c>
      <c r="BS274">
        <v>2.9257368091020908</v>
      </c>
      <c r="BW274" t="s">
        <v>167</v>
      </c>
      <c r="BX274" t="s">
        <v>168</v>
      </c>
      <c r="BZ274" t="s">
        <v>938</v>
      </c>
    </row>
    <row r="275" spans="1:78">
      <c r="A275">
        <v>1133</v>
      </c>
      <c r="B275" t="s">
        <v>886</v>
      </c>
      <c r="C275" t="s">
        <v>54</v>
      </c>
      <c r="D275" t="s">
        <v>1</v>
      </c>
      <c r="E275" t="s">
        <v>115</v>
      </c>
      <c r="F275" t="s">
        <v>99</v>
      </c>
      <c r="G275" t="s">
        <v>100</v>
      </c>
      <c r="H275" t="s">
        <v>128</v>
      </c>
      <c r="I275" t="s">
        <v>100</v>
      </c>
      <c r="J275" t="s">
        <v>101</v>
      </c>
      <c r="K275" t="s">
        <v>559</v>
      </c>
      <c r="L275" t="s">
        <v>559</v>
      </c>
      <c r="M275" t="s">
        <v>100</v>
      </c>
      <c r="N275" t="s">
        <v>549</v>
      </c>
      <c r="O275" t="s">
        <v>100</v>
      </c>
      <c r="Q275" t="s">
        <v>549</v>
      </c>
      <c r="R275" t="s">
        <v>119</v>
      </c>
      <c r="S275" t="s">
        <v>130</v>
      </c>
      <c r="T275" t="s">
        <v>120</v>
      </c>
      <c r="U275" t="s">
        <v>101</v>
      </c>
      <c r="V275" t="s">
        <v>121</v>
      </c>
      <c r="W275" t="s">
        <v>122</v>
      </c>
      <c r="X275" t="s">
        <v>123</v>
      </c>
      <c r="Y275">
        <v>1</v>
      </c>
      <c r="Z275" t="s">
        <v>596</v>
      </c>
      <c r="AA275" s="280">
        <v>43285</v>
      </c>
      <c r="AB275" t="s">
        <v>114</v>
      </c>
      <c r="AC275" t="s">
        <v>124</v>
      </c>
      <c r="AD275" s="280">
        <v>44651</v>
      </c>
      <c r="AE275" t="s">
        <v>125</v>
      </c>
      <c r="AF275">
        <v>6</v>
      </c>
      <c r="AG275">
        <v>0</v>
      </c>
      <c r="AH275">
        <v>0</v>
      </c>
      <c r="AI275" t="s">
        <v>126</v>
      </c>
      <c r="AL275">
        <v>1.0082191780821916</v>
      </c>
      <c r="AN275">
        <v>1.0082191780821916</v>
      </c>
      <c r="AO275">
        <v>8.219178082191636E-3</v>
      </c>
      <c r="AP275" t="s">
        <v>1050</v>
      </c>
      <c r="AR275" t="s">
        <v>127</v>
      </c>
      <c r="AS275">
        <v>8520</v>
      </c>
      <c r="AU275">
        <v>0</v>
      </c>
      <c r="AV275">
        <v>0</v>
      </c>
      <c r="AW275">
        <v>0</v>
      </c>
      <c r="AX275">
        <v>8520</v>
      </c>
      <c r="AY275">
        <v>358.89038191644977</v>
      </c>
      <c r="AZ275">
        <v>0</v>
      </c>
      <c r="BC275">
        <v>-8161.1096180835502</v>
      </c>
      <c r="BE275" t="s">
        <v>114</v>
      </c>
      <c r="BH275">
        <v>-355.9646451073483</v>
      </c>
      <c r="BI275">
        <v>-29.663720425612357</v>
      </c>
      <c r="BK275" t="s">
        <v>116</v>
      </c>
      <c r="BL275">
        <v>0</v>
      </c>
      <c r="BM275">
        <v>-8517.0742631908979</v>
      </c>
      <c r="BR275">
        <v>0</v>
      </c>
      <c r="BS275">
        <v>2.9257368091020908</v>
      </c>
      <c r="BW275" t="s">
        <v>167</v>
      </c>
      <c r="BX275" t="s">
        <v>168</v>
      </c>
      <c r="BZ275" t="s">
        <v>995</v>
      </c>
    </row>
    <row r="276" spans="1:78">
      <c r="A276">
        <v>1134</v>
      </c>
      <c r="B276" t="s">
        <v>855</v>
      </c>
      <c r="C276" t="s">
        <v>54</v>
      </c>
      <c r="D276" t="s">
        <v>1</v>
      </c>
      <c r="E276" t="s">
        <v>115</v>
      </c>
      <c r="F276" t="s">
        <v>99</v>
      </c>
      <c r="G276" t="s">
        <v>100</v>
      </c>
      <c r="H276" t="s">
        <v>128</v>
      </c>
      <c r="I276" t="s">
        <v>100</v>
      </c>
      <c r="J276" t="s">
        <v>101</v>
      </c>
      <c r="K276" t="s">
        <v>559</v>
      </c>
      <c r="L276" t="s">
        <v>559</v>
      </c>
      <c r="M276" t="s">
        <v>100</v>
      </c>
      <c r="N276" t="s">
        <v>549</v>
      </c>
      <c r="O276" t="s">
        <v>100</v>
      </c>
      <c r="Q276" t="s">
        <v>549</v>
      </c>
      <c r="R276" t="s">
        <v>119</v>
      </c>
      <c r="S276" t="s">
        <v>130</v>
      </c>
      <c r="T276" t="s">
        <v>120</v>
      </c>
      <c r="U276" t="s">
        <v>101</v>
      </c>
      <c r="V276" t="s">
        <v>121</v>
      </c>
      <c r="W276" t="s">
        <v>122</v>
      </c>
      <c r="X276" t="s">
        <v>123</v>
      </c>
      <c r="Y276">
        <v>1</v>
      </c>
      <c r="Z276" t="s">
        <v>596</v>
      </c>
      <c r="AA276" s="280">
        <v>43285</v>
      </c>
      <c r="AB276" t="s">
        <v>114</v>
      </c>
      <c r="AC276" t="s">
        <v>124</v>
      </c>
      <c r="AD276" s="280">
        <v>44651</v>
      </c>
      <c r="AE276" t="s">
        <v>125</v>
      </c>
      <c r="AF276">
        <v>6</v>
      </c>
      <c r="AG276">
        <v>0</v>
      </c>
      <c r="AH276">
        <v>0</v>
      </c>
      <c r="AI276" t="s">
        <v>126</v>
      </c>
      <c r="AL276">
        <v>1.0082191780821916</v>
      </c>
      <c r="AN276">
        <v>1.0082191780821916</v>
      </c>
      <c r="AO276">
        <v>8.219178082191636E-3</v>
      </c>
      <c r="AP276" t="s">
        <v>1051</v>
      </c>
      <c r="AR276" t="s">
        <v>127</v>
      </c>
      <c r="AS276">
        <v>8520</v>
      </c>
      <c r="AU276">
        <v>0</v>
      </c>
      <c r="AV276">
        <v>0</v>
      </c>
      <c r="AW276">
        <v>0</v>
      </c>
      <c r="AX276">
        <v>8520</v>
      </c>
      <c r="AY276">
        <v>358.89038191644977</v>
      </c>
      <c r="AZ276">
        <v>0</v>
      </c>
      <c r="BC276">
        <v>-8161.1096180835502</v>
      </c>
      <c r="BE276" t="s">
        <v>114</v>
      </c>
      <c r="BH276">
        <v>-355.9646451073483</v>
      </c>
      <c r="BI276">
        <v>-29.663720425612357</v>
      </c>
      <c r="BK276" t="s">
        <v>116</v>
      </c>
      <c r="BL276">
        <v>0</v>
      </c>
      <c r="BM276">
        <v>-8517.0742631908979</v>
      </c>
      <c r="BR276">
        <v>0</v>
      </c>
      <c r="BS276">
        <v>2.9257368091020908</v>
      </c>
      <c r="BW276" t="s">
        <v>167</v>
      </c>
      <c r="BX276" t="s">
        <v>168</v>
      </c>
      <c r="BZ276" t="s">
        <v>941</v>
      </c>
    </row>
    <row r="277" spans="1:78">
      <c r="A277">
        <v>1135</v>
      </c>
      <c r="B277" t="s">
        <v>851</v>
      </c>
      <c r="C277" t="s">
        <v>54</v>
      </c>
      <c r="D277" t="s">
        <v>1</v>
      </c>
      <c r="E277" t="s">
        <v>115</v>
      </c>
      <c r="F277" t="s">
        <v>99</v>
      </c>
      <c r="G277" t="s">
        <v>100</v>
      </c>
      <c r="H277" t="s">
        <v>128</v>
      </c>
      <c r="I277" t="s">
        <v>100</v>
      </c>
      <c r="J277" t="s">
        <v>101</v>
      </c>
      <c r="K277" t="s">
        <v>559</v>
      </c>
      <c r="L277" t="s">
        <v>559</v>
      </c>
      <c r="M277" t="s">
        <v>100</v>
      </c>
      <c r="N277" t="s">
        <v>549</v>
      </c>
      <c r="O277" t="s">
        <v>100</v>
      </c>
      <c r="Q277" t="s">
        <v>549</v>
      </c>
      <c r="R277" t="s">
        <v>119</v>
      </c>
      <c r="S277" t="s">
        <v>130</v>
      </c>
      <c r="T277" t="s">
        <v>120</v>
      </c>
      <c r="U277" t="s">
        <v>101</v>
      </c>
      <c r="V277" t="s">
        <v>121</v>
      </c>
      <c r="W277" t="s">
        <v>122</v>
      </c>
      <c r="X277" t="s">
        <v>123</v>
      </c>
      <c r="Y277">
        <v>1</v>
      </c>
      <c r="Z277" t="s">
        <v>596</v>
      </c>
      <c r="AA277" s="280">
        <v>43285</v>
      </c>
      <c r="AB277" t="s">
        <v>114</v>
      </c>
      <c r="AC277" t="s">
        <v>124</v>
      </c>
      <c r="AD277" s="280">
        <v>44651</v>
      </c>
      <c r="AE277" t="s">
        <v>125</v>
      </c>
      <c r="AF277">
        <v>6</v>
      </c>
      <c r="AG277">
        <v>0</v>
      </c>
      <c r="AH277">
        <v>0</v>
      </c>
      <c r="AI277" t="s">
        <v>126</v>
      </c>
      <c r="AL277">
        <v>1.0082191780821916</v>
      </c>
      <c r="AN277">
        <v>1.0082191780821916</v>
      </c>
      <c r="AO277">
        <v>8.219178082191636E-3</v>
      </c>
      <c r="AP277" t="s">
        <v>1050</v>
      </c>
      <c r="AR277" t="s">
        <v>127</v>
      </c>
      <c r="AS277">
        <v>8520</v>
      </c>
      <c r="AU277">
        <v>0</v>
      </c>
      <c r="AV277">
        <v>0</v>
      </c>
      <c r="AW277">
        <v>0</v>
      </c>
      <c r="AX277">
        <v>8520</v>
      </c>
      <c r="AY277">
        <v>358.89038191644977</v>
      </c>
      <c r="AZ277">
        <v>0</v>
      </c>
      <c r="BC277">
        <v>-8161.1096180835502</v>
      </c>
      <c r="BE277" t="s">
        <v>114</v>
      </c>
      <c r="BH277">
        <v>-355.9646451073483</v>
      </c>
      <c r="BI277">
        <v>-29.663720425612357</v>
      </c>
      <c r="BK277" t="s">
        <v>116</v>
      </c>
      <c r="BL277">
        <v>0</v>
      </c>
      <c r="BM277">
        <v>-8517.0742631908979</v>
      </c>
      <c r="BR277">
        <v>0</v>
      </c>
      <c r="BS277">
        <v>2.9257368091020908</v>
      </c>
      <c r="BW277" t="s">
        <v>167</v>
      </c>
      <c r="BX277" t="s">
        <v>168</v>
      </c>
      <c r="BZ277" t="s">
        <v>1012</v>
      </c>
    </row>
    <row r="278" spans="1:78">
      <c r="A278">
        <v>1136</v>
      </c>
      <c r="B278" t="s">
        <v>886</v>
      </c>
      <c r="C278" t="s">
        <v>54</v>
      </c>
      <c r="D278" t="s">
        <v>1</v>
      </c>
      <c r="E278" t="s">
        <v>115</v>
      </c>
      <c r="F278" t="s">
        <v>99</v>
      </c>
      <c r="G278" t="s">
        <v>100</v>
      </c>
      <c r="H278" t="s">
        <v>128</v>
      </c>
      <c r="I278" t="s">
        <v>100</v>
      </c>
      <c r="J278" t="s">
        <v>101</v>
      </c>
      <c r="K278" t="s">
        <v>559</v>
      </c>
      <c r="L278" t="s">
        <v>559</v>
      </c>
      <c r="M278" t="s">
        <v>100</v>
      </c>
      <c r="N278" t="s">
        <v>549</v>
      </c>
      <c r="O278" t="s">
        <v>100</v>
      </c>
      <c r="Q278" t="s">
        <v>549</v>
      </c>
      <c r="R278" t="s">
        <v>119</v>
      </c>
      <c r="S278" t="s">
        <v>130</v>
      </c>
      <c r="T278" t="s">
        <v>120</v>
      </c>
      <c r="U278" t="s">
        <v>101</v>
      </c>
      <c r="V278" t="s">
        <v>121</v>
      </c>
      <c r="W278" t="s">
        <v>122</v>
      </c>
      <c r="X278" t="s">
        <v>123</v>
      </c>
      <c r="Y278">
        <v>1</v>
      </c>
      <c r="Z278" t="s">
        <v>596</v>
      </c>
      <c r="AA278" s="280">
        <v>43285</v>
      </c>
      <c r="AB278" t="s">
        <v>114</v>
      </c>
      <c r="AC278" t="s">
        <v>124</v>
      </c>
      <c r="AD278" s="280">
        <v>44651</v>
      </c>
      <c r="AE278" t="s">
        <v>125</v>
      </c>
      <c r="AF278">
        <v>6</v>
      </c>
      <c r="AG278">
        <v>0</v>
      </c>
      <c r="AH278">
        <v>0</v>
      </c>
      <c r="AI278" t="s">
        <v>126</v>
      </c>
      <c r="AL278">
        <v>1.0082191780821916</v>
      </c>
      <c r="AN278">
        <v>1.0082191780821916</v>
      </c>
      <c r="AO278">
        <v>8.219178082191636E-3</v>
      </c>
      <c r="AP278" t="s">
        <v>1050</v>
      </c>
      <c r="AR278" t="s">
        <v>127</v>
      </c>
      <c r="AS278">
        <v>8520</v>
      </c>
      <c r="AU278">
        <v>0</v>
      </c>
      <c r="AV278">
        <v>0</v>
      </c>
      <c r="AW278">
        <v>0</v>
      </c>
      <c r="AX278">
        <v>8520</v>
      </c>
      <c r="AY278">
        <v>358.89038191644977</v>
      </c>
      <c r="AZ278">
        <v>0</v>
      </c>
      <c r="BC278">
        <v>-8161.1096180835502</v>
      </c>
      <c r="BE278" t="s">
        <v>114</v>
      </c>
      <c r="BH278">
        <v>-355.9646451073483</v>
      </c>
      <c r="BI278">
        <v>-29.663720425612357</v>
      </c>
      <c r="BK278" t="s">
        <v>116</v>
      </c>
      <c r="BL278">
        <v>0</v>
      </c>
      <c r="BM278">
        <v>-8517.0742631908979</v>
      </c>
      <c r="BR278">
        <v>0</v>
      </c>
      <c r="BS278">
        <v>2.9257368091020908</v>
      </c>
      <c r="BW278" t="s">
        <v>167</v>
      </c>
      <c r="BX278" t="s">
        <v>168</v>
      </c>
      <c r="BZ278" t="s">
        <v>991</v>
      </c>
    </row>
    <row r="279" spans="1:78">
      <c r="A279">
        <v>1137</v>
      </c>
      <c r="B279" t="s">
        <v>901</v>
      </c>
      <c r="C279" t="s">
        <v>54</v>
      </c>
      <c r="D279" t="s">
        <v>1</v>
      </c>
      <c r="E279" t="s">
        <v>115</v>
      </c>
      <c r="F279" t="s">
        <v>99</v>
      </c>
      <c r="G279" t="s">
        <v>100</v>
      </c>
      <c r="H279" t="s">
        <v>128</v>
      </c>
      <c r="I279" t="s">
        <v>100</v>
      </c>
      <c r="J279" t="s">
        <v>101</v>
      </c>
      <c r="K279" t="s">
        <v>559</v>
      </c>
      <c r="L279" t="s">
        <v>559</v>
      </c>
      <c r="M279" t="s">
        <v>100</v>
      </c>
      <c r="N279" t="s">
        <v>552</v>
      </c>
      <c r="O279" t="s">
        <v>100</v>
      </c>
      <c r="Q279" t="s">
        <v>552</v>
      </c>
      <c r="R279" t="s">
        <v>119</v>
      </c>
      <c r="S279" t="s">
        <v>130</v>
      </c>
      <c r="T279" t="s">
        <v>120</v>
      </c>
      <c r="U279" t="s">
        <v>101</v>
      </c>
      <c r="V279" t="s">
        <v>121</v>
      </c>
      <c r="W279" t="s">
        <v>122</v>
      </c>
      <c r="X279" t="s">
        <v>123</v>
      </c>
      <c r="Y279">
        <v>1</v>
      </c>
      <c r="Z279" t="s">
        <v>596</v>
      </c>
      <c r="AA279" s="280">
        <v>43285</v>
      </c>
      <c r="AB279" t="s">
        <v>114</v>
      </c>
      <c r="AC279" t="s">
        <v>124</v>
      </c>
      <c r="AD279" s="280">
        <v>44651</v>
      </c>
      <c r="AE279" t="s">
        <v>125</v>
      </c>
      <c r="AF279">
        <v>6</v>
      </c>
      <c r="AG279">
        <v>0</v>
      </c>
      <c r="AH279">
        <v>0</v>
      </c>
      <c r="AI279" t="s">
        <v>126</v>
      </c>
      <c r="AL279">
        <v>1.0082191780821916</v>
      </c>
      <c r="AN279">
        <v>1.0082191780821916</v>
      </c>
      <c r="AO279">
        <v>8.219178082191636E-3</v>
      </c>
      <c r="AP279" t="s">
        <v>1050</v>
      </c>
      <c r="AR279" t="s">
        <v>127</v>
      </c>
      <c r="AS279">
        <v>8520</v>
      </c>
      <c r="AU279">
        <v>0</v>
      </c>
      <c r="AV279">
        <v>0</v>
      </c>
      <c r="AW279">
        <v>0</v>
      </c>
      <c r="AX279">
        <v>8520</v>
      </c>
      <c r="AY279">
        <v>358.89038191644977</v>
      </c>
      <c r="AZ279">
        <v>0</v>
      </c>
      <c r="BC279">
        <v>-8161.1096180835502</v>
      </c>
      <c r="BE279" t="s">
        <v>114</v>
      </c>
      <c r="BH279">
        <v>-355.9646451073483</v>
      </c>
      <c r="BI279">
        <v>-29.663720425612357</v>
      </c>
      <c r="BK279" t="s">
        <v>116</v>
      </c>
      <c r="BL279">
        <v>0</v>
      </c>
      <c r="BM279">
        <v>-8517.0742631908979</v>
      </c>
      <c r="BR279">
        <v>0</v>
      </c>
      <c r="BS279">
        <v>2.9257368091020908</v>
      </c>
      <c r="BW279" t="s">
        <v>167</v>
      </c>
      <c r="BX279" t="s">
        <v>168</v>
      </c>
      <c r="BZ279" t="s">
        <v>1018</v>
      </c>
    </row>
    <row r="280" spans="1:78">
      <c r="A280">
        <v>1138</v>
      </c>
      <c r="B280" t="s">
        <v>875</v>
      </c>
      <c r="C280" t="s">
        <v>54</v>
      </c>
      <c r="D280" t="s">
        <v>1</v>
      </c>
      <c r="E280" t="s">
        <v>115</v>
      </c>
      <c r="F280" t="s">
        <v>99</v>
      </c>
      <c r="G280" t="s">
        <v>100</v>
      </c>
      <c r="H280" t="s">
        <v>128</v>
      </c>
      <c r="I280" t="s">
        <v>100</v>
      </c>
      <c r="J280" t="s">
        <v>101</v>
      </c>
      <c r="K280" t="s">
        <v>559</v>
      </c>
      <c r="L280" t="s">
        <v>559</v>
      </c>
      <c r="M280" t="s">
        <v>100</v>
      </c>
      <c r="N280" t="s">
        <v>549</v>
      </c>
      <c r="O280" t="s">
        <v>100</v>
      </c>
      <c r="Q280" t="s">
        <v>549</v>
      </c>
      <c r="R280" t="s">
        <v>119</v>
      </c>
      <c r="S280" t="s">
        <v>130</v>
      </c>
      <c r="T280" t="s">
        <v>120</v>
      </c>
      <c r="U280" t="s">
        <v>101</v>
      </c>
      <c r="V280" t="s">
        <v>121</v>
      </c>
      <c r="W280" t="s">
        <v>122</v>
      </c>
      <c r="X280" t="s">
        <v>123</v>
      </c>
      <c r="Y280">
        <v>1</v>
      </c>
      <c r="Z280" t="s">
        <v>596</v>
      </c>
      <c r="AA280" s="280">
        <v>43285</v>
      </c>
      <c r="AB280" t="s">
        <v>114</v>
      </c>
      <c r="AC280" t="s">
        <v>124</v>
      </c>
      <c r="AD280" s="280">
        <v>44651</v>
      </c>
      <c r="AE280" t="s">
        <v>125</v>
      </c>
      <c r="AF280">
        <v>6</v>
      </c>
      <c r="AG280">
        <v>0</v>
      </c>
      <c r="AH280">
        <v>0</v>
      </c>
      <c r="AI280" t="s">
        <v>126</v>
      </c>
      <c r="AL280">
        <v>1.0082191780821916</v>
      </c>
      <c r="AN280">
        <v>1.0082191780821916</v>
      </c>
      <c r="AO280">
        <v>8.219178082191636E-3</v>
      </c>
      <c r="AP280" t="s">
        <v>1050</v>
      </c>
      <c r="AR280" t="s">
        <v>127</v>
      </c>
      <c r="AS280">
        <v>8520</v>
      </c>
      <c r="AU280">
        <v>0</v>
      </c>
      <c r="AV280">
        <v>0</v>
      </c>
      <c r="AW280">
        <v>0</v>
      </c>
      <c r="AX280">
        <v>8520</v>
      </c>
      <c r="AY280">
        <v>358.89038191644977</v>
      </c>
      <c r="AZ280">
        <v>0</v>
      </c>
      <c r="BC280">
        <v>-8161.1096180835502</v>
      </c>
      <c r="BE280" t="s">
        <v>114</v>
      </c>
      <c r="BH280">
        <v>-355.9646451073483</v>
      </c>
      <c r="BI280">
        <v>-29.663720425612357</v>
      </c>
      <c r="BK280" t="s">
        <v>116</v>
      </c>
      <c r="BL280">
        <v>0</v>
      </c>
      <c r="BM280">
        <v>-8517.0742631908979</v>
      </c>
      <c r="BR280">
        <v>0</v>
      </c>
      <c r="BS280">
        <v>2.9257368091020908</v>
      </c>
      <c r="BW280" t="s">
        <v>167</v>
      </c>
      <c r="BX280" t="s">
        <v>168</v>
      </c>
      <c r="BZ280" t="s">
        <v>1019</v>
      </c>
    </row>
    <row r="281" spans="1:78">
      <c r="A281">
        <v>1139</v>
      </c>
      <c r="B281" t="s">
        <v>875</v>
      </c>
      <c r="C281" t="s">
        <v>54</v>
      </c>
      <c r="D281" t="s">
        <v>1</v>
      </c>
      <c r="E281" t="s">
        <v>115</v>
      </c>
      <c r="F281" t="s">
        <v>99</v>
      </c>
      <c r="G281" t="s">
        <v>100</v>
      </c>
      <c r="H281" t="s">
        <v>128</v>
      </c>
      <c r="I281" t="s">
        <v>100</v>
      </c>
      <c r="J281" t="s">
        <v>101</v>
      </c>
      <c r="K281" t="s">
        <v>559</v>
      </c>
      <c r="L281" t="s">
        <v>559</v>
      </c>
      <c r="M281" t="s">
        <v>100</v>
      </c>
      <c r="N281" t="s">
        <v>549</v>
      </c>
      <c r="O281" t="s">
        <v>100</v>
      </c>
      <c r="Q281" t="s">
        <v>549</v>
      </c>
      <c r="R281" t="s">
        <v>119</v>
      </c>
      <c r="S281" t="s">
        <v>130</v>
      </c>
      <c r="T281" t="s">
        <v>120</v>
      </c>
      <c r="U281" t="s">
        <v>101</v>
      </c>
      <c r="V281" t="s">
        <v>121</v>
      </c>
      <c r="W281" t="s">
        <v>122</v>
      </c>
      <c r="X281" t="s">
        <v>123</v>
      </c>
      <c r="Y281">
        <v>1</v>
      </c>
      <c r="Z281" t="s">
        <v>596</v>
      </c>
      <c r="AA281" s="280">
        <v>43285</v>
      </c>
      <c r="AB281" t="s">
        <v>114</v>
      </c>
      <c r="AC281" t="s">
        <v>124</v>
      </c>
      <c r="AD281" s="280">
        <v>44651</v>
      </c>
      <c r="AE281" t="s">
        <v>125</v>
      </c>
      <c r="AF281">
        <v>6</v>
      </c>
      <c r="AG281">
        <v>0</v>
      </c>
      <c r="AH281">
        <v>0</v>
      </c>
      <c r="AI281" t="s">
        <v>126</v>
      </c>
      <c r="AL281">
        <v>1.0082191780821916</v>
      </c>
      <c r="AN281">
        <v>1.0082191780821916</v>
      </c>
      <c r="AO281">
        <v>8.219178082191636E-3</v>
      </c>
      <c r="AP281" t="s">
        <v>1051</v>
      </c>
      <c r="AR281" t="s">
        <v>127</v>
      </c>
      <c r="AS281">
        <v>8520</v>
      </c>
      <c r="AU281">
        <v>0</v>
      </c>
      <c r="AV281">
        <v>0</v>
      </c>
      <c r="AW281">
        <v>0</v>
      </c>
      <c r="AX281">
        <v>8520</v>
      </c>
      <c r="AY281">
        <v>358.89038191644977</v>
      </c>
      <c r="AZ281">
        <v>0</v>
      </c>
      <c r="BC281">
        <v>-8161.1096180835502</v>
      </c>
      <c r="BE281" t="s">
        <v>114</v>
      </c>
      <c r="BH281">
        <v>-355.9646451073483</v>
      </c>
      <c r="BI281">
        <v>-29.663720425612357</v>
      </c>
      <c r="BK281" t="s">
        <v>116</v>
      </c>
      <c r="BL281">
        <v>0</v>
      </c>
      <c r="BM281">
        <v>-8517.0742631908979</v>
      </c>
      <c r="BR281">
        <v>0</v>
      </c>
      <c r="BS281">
        <v>2.9257368091020908</v>
      </c>
      <c r="BW281" t="s">
        <v>167</v>
      </c>
      <c r="BX281" t="s">
        <v>168</v>
      </c>
      <c r="BZ281" t="s">
        <v>1017</v>
      </c>
    </row>
    <row r="282" spans="1:78">
      <c r="A282">
        <v>1205</v>
      </c>
      <c r="B282" t="s">
        <v>856</v>
      </c>
      <c r="C282" t="s">
        <v>54</v>
      </c>
      <c r="D282" t="s">
        <v>1</v>
      </c>
      <c r="E282" t="s">
        <v>115</v>
      </c>
      <c r="F282" t="s">
        <v>99</v>
      </c>
      <c r="G282" t="s">
        <v>100</v>
      </c>
      <c r="H282" t="s">
        <v>128</v>
      </c>
      <c r="I282" t="s">
        <v>100</v>
      </c>
      <c r="J282" t="s">
        <v>101</v>
      </c>
      <c r="K282" t="s">
        <v>559</v>
      </c>
      <c r="L282" t="s">
        <v>559</v>
      </c>
      <c r="M282" t="s">
        <v>100</v>
      </c>
      <c r="N282" t="s">
        <v>550</v>
      </c>
      <c r="O282" t="s">
        <v>100</v>
      </c>
      <c r="Q282" t="s">
        <v>550</v>
      </c>
      <c r="R282" t="s">
        <v>119</v>
      </c>
      <c r="S282" t="s">
        <v>130</v>
      </c>
      <c r="T282" t="s">
        <v>120</v>
      </c>
      <c r="U282" t="s">
        <v>101</v>
      </c>
      <c r="V282" t="s">
        <v>121</v>
      </c>
      <c r="W282" t="s">
        <v>122</v>
      </c>
      <c r="X282" t="s">
        <v>123</v>
      </c>
      <c r="Y282">
        <v>1</v>
      </c>
      <c r="Z282" t="s">
        <v>596</v>
      </c>
      <c r="AA282" s="280">
        <v>43285</v>
      </c>
      <c r="AB282" t="s">
        <v>114</v>
      </c>
      <c r="AC282" t="s">
        <v>124</v>
      </c>
      <c r="AD282" s="280">
        <v>44651</v>
      </c>
      <c r="AE282" t="s">
        <v>125</v>
      </c>
      <c r="AF282">
        <v>6</v>
      </c>
      <c r="AG282">
        <v>0</v>
      </c>
      <c r="AH282">
        <v>0</v>
      </c>
      <c r="AI282" t="s">
        <v>126</v>
      </c>
      <c r="AL282">
        <v>1.0082191780821916</v>
      </c>
      <c r="AN282">
        <v>1.0082191780821916</v>
      </c>
      <c r="AO282">
        <v>8.219178082191636E-3</v>
      </c>
      <c r="AP282" t="s">
        <v>1051</v>
      </c>
      <c r="AR282" t="s">
        <v>127</v>
      </c>
      <c r="AS282">
        <v>3000</v>
      </c>
      <c r="AU282">
        <v>0</v>
      </c>
      <c r="AV282">
        <v>0</v>
      </c>
      <c r="AW282">
        <v>0</v>
      </c>
      <c r="AX282">
        <v>3000</v>
      </c>
      <c r="AY282">
        <v>126.36985278748261</v>
      </c>
      <c r="AZ282">
        <v>0</v>
      </c>
      <c r="BC282">
        <v>-2873.6301472125174</v>
      </c>
      <c r="BE282" t="s">
        <v>114</v>
      </c>
      <c r="BH282">
        <v>-125.33966377019337</v>
      </c>
      <c r="BI282">
        <v>-10.444971980849447</v>
      </c>
      <c r="BK282" t="s">
        <v>116</v>
      </c>
      <c r="BL282">
        <v>0</v>
      </c>
      <c r="BM282">
        <v>-2998.9698109827109</v>
      </c>
      <c r="BR282">
        <v>0</v>
      </c>
      <c r="BS282">
        <v>1.0301890172891035</v>
      </c>
      <c r="BW282" t="s">
        <v>167</v>
      </c>
      <c r="BX282" t="s">
        <v>168</v>
      </c>
      <c r="BZ282" t="s">
        <v>940</v>
      </c>
    </row>
    <row r="283" spans="1:78">
      <c r="A283">
        <v>1207</v>
      </c>
      <c r="B283" t="s">
        <v>855</v>
      </c>
      <c r="C283" t="s">
        <v>54</v>
      </c>
      <c r="D283" t="s">
        <v>1</v>
      </c>
      <c r="E283" t="s">
        <v>115</v>
      </c>
      <c r="F283" t="s">
        <v>99</v>
      </c>
      <c r="G283" t="s">
        <v>100</v>
      </c>
      <c r="H283" t="s">
        <v>128</v>
      </c>
      <c r="I283" t="s">
        <v>100</v>
      </c>
      <c r="J283" t="s">
        <v>101</v>
      </c>
      <c r="K283" t="s">
        <v>559</v>
      </c>
      <c r="L283" t="s">
        <v>559</v>
      </c>
      <c r="M283" t="s">
        <v>100</v>
      </c>
      <c r="N283" t="s">
        <v>550</v>
      </c>
      <c r="O283" t="s">
        <v>100</v>
      </c>
      <c r="Q283" t="s">
        <v>550</v>
      </c>
      <c r="R283" t="s">
        <v>119</v>
      </c>
      <c r="S283" t="s">
        <v>130</v>
      </c>
      <c r="T283" t="s">
        <v>120</v>
      </c>
      <c r="U283" t="s">
        <v>101</v>
      </c>
      <c r="V283" t="s">
        <v>121</v>
      </c>
      <c r="W283" t="s">
        <v>122</v>
      </c>
      <c r="X283" t="s">
        <v>123</v>
      </c>
      <c r="Y283">
        <v>1</v>
      </c>
      <c r="Z283" t="s">
        <v>596</v>
      </c>
      <c r="AA283" s="280">
        <v>43285</v>
      </c>
      <c r="AB283" t="s">
        <v>114</v>
      </c>
      <c r="AC283" t="s">
        <v>124</v>
      </c>
      <c r="AD283" s="280">
        <v>44651</v>
      </c>
      <c r="AE283" t="s">
        <v>125</v>
      </c>
      <c r="AF283">
        <v>6</v>
      </c>
      <c r="AG283">
        <v>0</v>
      </c>
      <c r="AH283">
        <v>0</v>
      </c>
      <c r="AI283" t="s">
        <v>126</v>
      </c>
      <c r="AL283">
        <v>1.0082191780821916</v>
      </c>
      <c r="AN283">
        <v>1.0082191780821916</v>
      </c>
      <c r="AO283">
        <v>8.219178082191636E-3</v>
      </c>
      <c r="AP283" t="s">
        <v>1051</v>
      </c>
      <c r="AR283" t="s">
        <v>127</v>
      </c>
      <c r="AS283">
        <v>3000</v>
      </c>
      <c r="AU283">
        <v>0</v>
      </c>
      <c r="AV283">
        <v>0</v>
      </c>
      <c r="AW283">
        <v>0</v>
      </c>
      <c r="AX283">
        <v>3000</v>
      </c>
      <c r="AY283">
        <v>126.36985278748261</v>
      </c>
      <c r="AZ283">
        <v>0</v>
      </c>
      <c r="BC283">
        <v>-2873.6301472125174</v>
      </c>
      <c r="BE283" t="s">
        <v>114</v>
      </c>
      <c r="BH283">
        <v>-125.33966377019337</v>
      </c>
      <c r="BI283">
        <v>-10.444971980849447</v>
      </c>
      <c r="BK283" t="s">
        <v>116</v>
      </c>
      <c r="BL283">
        <v>0</v>
      </c>
      <c r="BM283">
        <v>-2998.9698109827109</v>
      </c>
      <c r="BR283">
        <v>0</v>
      </c>
      <c r="BS283">
        <v>1.0301890172891035</v>
      </c>
      <c r="BW283" t="s">
        <v>167</v>
      </c>
      <c r="BX283" t="s">
        <v>168</v>
      </c>
      <c r="BZ283" t="s">
        <v>941</v>
      </c>
    </row>
    <row r="284" spans="1:78">
      <c r="A284">
        <v>1208</v>
      </c>
      <c r="B284" t="s">
        <v>856</v>
      </c>
      <c r="C284" t="s">
        <v>54</v>
      </c>
      <c r="D284" t="s">
        <v>1</v>
      </c>
      <c r="E284" t="s">
        <v>115</v>
      </c>
      <c r="F284" t="s">
        <v>99</v>
      </c>
      <c r="G284" t="s">
        <v>100</v>
      </c>
      <c r="H284" t="s">
        <v>128</v>
      </c>
      <c r="I284" t="s">
        <v>100</v>
      </c>
      <c r="J284" t="s">
        <v>101</v>
      </c>
      <c r="K284" t="s">
        <v>559</v>
      </c>
      <c r="L284" t="s">
        <v>559</v>
      </c>
      <c r="M284" t="s">
        <v>100</v>
      </c>
      <c r="N284" t="s">
        <v>550</v>
      </c>
      <c r="O284" t="s">
        <v>100</v>
      </c>
      <c r="Q284" t="s">
        <v>550</v>
      </c>
      <c r="R284" t="s">
        <v>119</v>
      </c>
      <c r="S284" t="s">
        <v>130</v>
      </c>
      <c r="T284" t="s">
        <v>120</v>
      </c>
      <c r="U284" t="s">
        <v>101</v>
      </c>
      <c r="V284" t="s">
        <v>121</v>
      </c>
      <c r="W284" t="s">
        <v>122</v>
      </c>
      <c r="X284" t="s">
        <v>123</v>
      </c>
      <c r="Y284">
        <v>1</v>
      </c>
      <c r="Z284" t="s">
        <v>596</v>
      </c>
      <c r="AA284" s="280">
        <v>43285</v>
      </c>
      <c r="AB284" t="s">
        <v>114</v>
      </c>
      <c r="AC284" t="s">
        <v>124</v>
      </c>
      <c r="AD284" s="280">
        <v>44651</v>
      </c>
      <c r="AE284" t="s">
        <v>125</v>
      </c>
      <c r="AF284">
        <v>6</v>
      </c>
      <c r="AG284">
        <v>0</v>
      </c>
      <c r="AH284">
        <v>0</v>
      </c>
      <c r="AI284" t="s">
        <v>126</v>
      </c>
      <c r="AL284">
        <v>1.0082191780821916</v>
      </c>
      <c r="AN284">
        <v>1.0082191780821916</v>
      </c>
      <c r="AO284">
        <v>8.219178082191636E-3</v>
      </c>
      <c r="AP284" t="s">
        <v>1051</v>
      </c>
      <c r="AR284" t="s">
        <v>127</v>
      </c>
      <c r="AS284">
        <v>3000</v>
      </c>
      <c r="AU284">
        <v>0</v>
      </c>
      <c r="AV284">
        <v>0</v>
      </c>
      <c r="AW284">
        <v>0</v>
      </c>
      <c r="AX284">
        <v>3000</v>
      </c>
      <c r="AY284">
        <v>126.36985278748261</v>
      </c>
      <c r="AZ284">
        <v>0</v>
      </c>
      <c r="BC284">
        <v>-2873.6301472125174</v>
      </c>
      <c r="BE284" t="s">
        <v>114</v>
      </c>
      <c r="BH284">
        <v>-125.33966377019337</v>
      </c>
      <c r="BI284">
        <v>-10.444971980849447</v>
      </c>
      <c r="BK284" t="s">
        <v>116</v>
      </c>
      <c r="BL284">
        <v>0</v>
      </c>
      <c r="BM284">
        <v>-2998.9698109827109</v>
      </c>
      <c r="BR284">
        <v>0</v>
      </c>
      <c r="BS284">
        <v>1.0301890172891035</v>
      </c>
      <c r="BW284" t="s">
        <v>167</v>
      </c>
      <c r="BX284" t="s">
        <v>168</v>
      </c>
      <c r="BZ284" t="s">
        <v>940</v>
      </c>
    </row>
    <row r="285" spans="1:78">
      <c r="A285">
        <v>1212</v>
      </c>
      <c r="B285" t="s">
        <v>856</v>
      </c>
      <c r="C285" t="s">
        <v>54</v>
      </c>
      <c r="D285" t="s">
        <v>1</v>
      </c>
      <c r="E285" t="s">
        <v>115</v>
      </c>
      <c r="F285" t="s">
        <v>99</v>
      </c>
      <c r="G285" t="s">
        <v>100</v>
      </c>
      <c r="H285" t="s">
        <v>128</v>
      </c>
      <c r="I285" t="s">
        <v>100</v>
      </c>
      <c r="J285" t="s">
        <v>101</v>
      </c>
      <c r="K285" t="s">
        <v>559</v>
      </c>
      <c r="L285" t="s">
        <v>559</v>
      </c>
      <c r="M285" t="s">
        <v>100</v>
      </c>
      <c r="N285" t="s">
        <v>550</v>
      </c>
      <c r="O285" t="s">
        <v>100</v>
      </c>
      <c r="Q285" t="s">
        <v>550</v>
      </c>
      <c r="R285" t="s">
        <v>119</v>
      </c>
      <c r="S285" t="s">
        <v>130</v>
      </c>
      <c r="T285" t="s">
        <v>120</v>
      </c>
      <c r="U285" t="s">
        <v>101</v>
      </c>
      <c r="V285" t="s">
        <v>121</v>
      </c>
      <c r="W285" t="s">
        <v>122</v>
      </c>
      <c r="X285" t="s">
        <v>123</v>
      </c>
      <c r="Y285">
        <v>1</v>
      </c>
      <c r="Z285" t="s">
        <v>596</v>
      </c>
      <c r="AA285" s="280">
        <v>43285</v>
      </c>
      <c r="AB285" t="s">
        <v>114</v>
      </c>
      <c r="AC285" t="s">
        <v>124</v>
      </c>
      <c r="AD285" s="280">
        <v>44651</v>
      </c>
      <c r="AE285" t="s">
        <v>125</v>
      </c>
      <c r="AF285">
        <v>6</v>
      </c>
      <c r="AG285">
        <v>0</v>
      </c>
      <c r="AH285">
        <v>0</v>
      </c>
      <c r="AI285" t="s">
        <v>126</v>
      </c>
      <c r="AL285">
        <v>1.0082191780821916</v>
      </c>
      <c r="AN285">
        <v>1.0082191780821916</v>
      </c>
      <c r="AO285">
        <v>8.219178082191636E-3</v>
      </c>
      <c r="AP285" t="s">
        <v>1051</v>
      </c>
      <c r="AR285" t="s">
        <v>127</v>
      </c>
      <c r="AS285">
        <v>3000</v>
      </c>
      <c r="AU285">
        <v>0</v>
      </c>
      <c r="AV285">
        <v>0</v>
      </c>
      <c r="AW285">
        <v>0</v>
      </c>
      <c r="AX285">
        <v>3000</v>
      </c>
      <c r="AY285">
        <v>126.36985278748261</v>
      </c>
      <c r="AZ285">
        <v>0</v>
      </c>
      <c r="BC285">
        <v>-2873.6301472125174</v>
      </c>
      <c r="BE285" t="s">
        <v>114</v>
      </c>
      <c r="BH285">
        <v>-125.33966377019337</v>
      </c>
      <c r="BI285">
        <v>-10.444971980849447</v>
      </c>
      <c r="BK285" t="s">
        <v>116</v>
      </c>
      <c r="BL285">
        <v>0</v>
      </c>
      <c r="BM285">
        <v>-2998.9698109827109</v>
      </c>
      <c r="BR285">
        <v>0</v>
      </c>
      <c r="BS285">
        <v>1.0301890172891035</v>
      </c>
      <c r="BW285" t="s">
        <v>167</v>
      </c>
      <c r="BX285" t="s">
        <v>168</v>
      </c>
      <c r="BZ285" t="s">
        <v>940</v>
      </c>
    </row>
    <row r="286" spans="1:78">
      <c r="A286">
        <v>1213</v>
      </c>
      <c r="B286" t="s">
        <v>929</v>
      </c>
      <c r="C286" t="s">
        <v>54</v>
      </c>
      <c r="D286" t="s">
        <v>1</v>
      </c>
      <c r="E286" t="s">
        <v>115</v>
      </c>
      <c r="F286" t="s">
        <v>99</v>
      </c>
      <c r="G286" t="s">
        <v>100</v>
      </c>
      <c r="H286" t="s">
        <v>128</v>
      </c>
      <c r="I286" t="s">
        <v>100</v>
      </c>
      <c r="J286" t="s">
        <v>101</v>
      </c>
      <c r="K286" t="s">
        <v>559</v>
      </c>
      <c r="L286" t="s">
        <v>559</v>
      </c>
      <c r="M286" t="s">
        <v>100</v>
      </c>
      <c r="N286" t="s">
        <v>550</v>
      </c>
      <c r="O286" t="s">
        <v>100</v>
      </c>
      <c r="Q286" t="s">
        <v>550</v>
      </c>
      <c r="R286" t="s">
        <v>119</v>
      </c>
      <c r="S286" t="s">
        <v>130</v>
      </c>
      <c r="T286" t="s">
        <v>120</v>
      </c>
      <c r="U286" t="s">
        <v>101</v>
      </c>
      <c r="V286" t="s">
        <v>121</v>
      </c>
      <c r="W286" t="s">
        <v>122</v>
      </c>
      <c r="X286" t="s">
        <v>123</v>
      </c>
      <c r="Y286">
        <v>1</v>
      </c>
      <c r="Z286" t="s">
        <v>596</v>
      </c>
      <c r="AA286" s="280">
        <v>43285</v>
      </c>
      <c r="AB286" t="s">
        <v>114</v>
      </c>
      <c r="AC286" t="s">
        <v>124</v>
      </c>
      <c r="AD286" s="280">
        <v>44651</v>
      </c>
      <c r="AE286" t="s">
        <v>125</v>
      </c>
      <c r="AF286">
        <v>6</v>
      </c>
      <c r="AG286">
        <v>0</v>
      </c>
      <c r="AH286">
        <v>0</v>
      </c>
      <c r="AI286" t="s">
        <v>126</v>
      </c>
      <c r="AL286">
        <v>1.0082191780821916</v>
      </c>
      <c r="AN286">
        <v>1.0082191780821916</v>
      </c>
      <c r="AO286">
        <v>8.219178082191636E-3</v>
      </c>
      <c r="AP286" t="s">
        <v>1050</v>
      </c>
      <c r="AR286" t="s">
        <v>127</v>
      </c>
      <c r="AS286">
        <v>3000</v>
      </c>
      <c r="AU286">
        <v>0</v>
      </c>
      <c r="AV286">
        <v>0</v>
      </c>
      <c r="AW286">
        <v>0</v>
      </c>
      <c r="AX286">
        <v>3000</v>
      </c>
      <c r="AY286">
        <v>126.36985278748261</v>
      </c>
      <c r="AZ286">
        <v>0</v>
      </c>
      <c r="BC286">
        <v>-2873.6301472125174</v>
      </c>
      <c r="BE286" t="s">
        <v>114</v>
      </c>
      <c r="BH286">
        <v>-125.33966377019337</v>
      </c>
      <c r="BI286">
        <v>-10.444971980849447</v>
      </c>
      <c r="BK286" t="s">
        <v>116</v>
      </c>
      <c r="BL286">
        <v>0</v>
      </c>
      <c r="BM286">
        <v>-2998.9698109827109</v>
      </c>
      <c r="BR286">
        <v>0</v>
      </c>
      <c r="BS286">
        <v>1.0301890172891035</v>
      </c>
      <c r="BW286" t="s">
        <v>167</v>
      </c>
      <c r="BX286" t="s">
        <v>168</v>
      </c>
      <c r="BZ286" t="s">
        <v>938</v>
      </c>
    </row>
    <row r="287" spans="1:78">
      <c r="A287">
        <v>1214</v>
      </c>
      <c r="B287" t="s">
        <v>856</v>
      </c>
      <c r="C287" t="s">
        <v>54</v>
      </c>
      <c r="D287" t="s">
        <v>1</v>
      </c>
      <c r="E287" t="s">
        <v>115</v>
      </c>
      <c r="F287" t="s">
        <v>99</v>
      </c>
      <c r="G287" t="s">
        <v>100</v>
      </c>
      <c r="H287" t="s">
        <v>128</v>
      </c>
      <c r="I287" t="s">
        <v>100</v>
      </c>
      <c r="J287" t="s">
        <v>101</v>
      </c>
      <c r="K287" t="s">
        <v>559</v>
      </c>
      <c r="L287" t="s">
        <v>559</v>
      </c>
      <c r="M287" t="s">
        <v>100</v>
      </c>
      <c r="N287" t="s">
        <v>550</v>
      </c>
      <c r="O287" t="s">
        <v>100</v>
      </c>
      <c r="Q287" t="s">
        <v>550</v>
      </c>
      <c r="R287" t="s">
        <v>119</v>
      </c>
      <c r="S287" t="s">
        <v>130</v>
      </c>
      <c r="T287" t="s">
        <v>120</v>
      </c>
      <c r="U287" t="s">
        <v>101</v>
      </c>
      <c r="V287" t="s">
        <v>121</v>
      </c>
      <c r="W287" t="s">
        <v>122</v>
      </c>
      <c r="X287" t="s">
        <v>123</v>
      </c>
      <c r="Y287">
        <v>1</v>
      </c>
      <c r="Z287" t="s">
        <v>596</v>
      </c>
      <c r="AA287" s="280">
        <v>43285</v>
      </c>
      <c r="AB287" t="s">
        <v>114</v>
      </c>
      <c r="AC287" t="s">
        <v>124</v>
      </c>
      <c r="AD287" s="280">
        <v>44651</v>
      </c>
      <c r="AE287" t="s">
        <v>125</v>
      </c>
      <c r="AF287">
        <v>6</v>
      </c>
      <c r="AG287">
        <v>0</v>
      </c>
      <c r="AH287">
        <v>0</v>
      </c>
      <c r="AI287" t="s">
        <v>126</v>
      </c>
      <c r="AL287">
        <v>1.0082191780821916</v>
      </c>
      <c r="AN287">
        <v>1.0082191780821916</v>
      </c>
      <c r="AO287">
        <v>8.219178082191636E-3</v>
      </c>
      <c r="AP287" t="s">
        <v>1051</v>
      </c>
      <c r="AR287" t="s">
        <v>127</v>
      </c>
      <c r="AS287">
        <v>3000</v>
      </c>
      <c r="AU287">
        <v>0</v>
      </c>
      <c r="AV287">
        <v>0</v>
      </c>
      <c r="AW287">
        <v>0</v>
      </c>
      <c r="AX287">
        <v>3000</v>
      </c>
      <c r="AY287">
        <v>126.36985278748261</v>
      </c>
      <c r="AZ287">
        <v>0</v>
      </c>
      <c r="BC287">
        <v>-2873.6301472125174</v>
      </c>
      <c r="BE287" t="s">
        <v>114</v>
      </c>
      <c r="BH287">
        <v>-125.33966377019337</v>
      </c>
      <c r="BI287">
        <v>-10.444971980849447</v>
      </c>
      <c r="BK287" t="s">
        <v>116</v>
      </c>
      <c r="BL287">
        <v>0</v>
      </c>
      <c r="BM287">
        <v>-2998.9698109827109</v>
      </c>
      <c r="BR287">
        <v>0</v>
      </c>
      <c r="BS287">
        <v>1.0301890172891035</v>
      </c>
      <c r="BW287" t="s">
        <v>167</v>
      </c>
      <c r="BX287" t="s">
        <v>168</v>
      </c>
      <c r="BZ287" t="s">
        <v>940</v>
      </c>
    </row>
    <row r="288" spans="1:78">
      <c r="A288">
        <v>1216</v>
      </c>
      <c r="B288" t="s">
        <v>895</v>
      </c>
      <c r="C288" t="s">
        <v>54</v>
      </c>
      <c r="D288" t="s">
        <v>1</v>
      </c>
      <c r="E288" t="s">
        <v>115</v>
      </c>
      <c r="F288" t="s">
        <v>99</v>
      </c>
      <c r="G288" t="s">
        <v>100</v>
      </c>
      <c r="H288" t="s">
        <v>128</v>
      </c>
      <c r="I288" t="s">
        <v>100</v>
      </c>
      <c r="J288" t="s">
        <v>101</v>
      </c>
      <c r="K288" t="s">
        <v>559</v>
      </c>
      <c r="L288" t="s">
        <v>559</v>
      </c>
      <c r="M288" t="s">
        <v>100</v>
      </c>
      <c r="N288" t="s">
        <v>550</v>
      </c>
      <c r="O288" t="s">
        <v>100</v>
      </c>
      <c r="Q288" t="s">
        <v>550</v>
      </c>
      <c r="R288" t="s">
        <v>119</v>
      </c>
      <c r="S288" t="s">
        <v>130</v>
      </c>
      <c r="T288" t="s">
        <v>120</v>
      </c>
      <c r="U288" t="s">
        <v>101</v>
      </c>
      <c r="V288" t="s">
        <v>121</v>
      </c>
      <c r="W288" t="s">
        <v>122</v>
      </c>
      <c r="X288" t="s">
        <v>123</v>
      </c>
      <c r="Y288">
        <v>1</v>
      </c>
      <c r="Z288" t="s">
        <v>596</v>
      </c>
      <c r="AA288" s="280">
        <v>43285</v>
      </c>
      <c r="AB288" t="s">
        <v>114</v>
      </c>
      <c r="AC288" t="s">
        <v>124</v>
      </c>
      <c r="AD288" s="280">
        <v>44651</v>
      </c>
      <c r="AE288" t="s">
        <v>125</v>
      </c>
      <c r="AF288">
        <v>6</v>
      </c>
      <c r="AG288">
        <v>0</v>
      </c>
      <c r="AH288">
        <v>0</v>
      </c>
      <c r="AI288" t="s">
        <v>126</v>
      </c>
      <c r="AL288">
        <v>1.0082191780821916</v>
      </c>
      <c r="AN288">
        <v>1.0082191780821916</v>
      </c>
      <c r="AO288">
        <v>8.219178082191636E-3</v>
      </c>
      <c r="AP288" t="s">
        <v>1051</v>
      </c>
      <c r="AR288" t="s">
        <v>127</v>
      </c>
      <c r="AS288">
        <v>3000</v>
      </c>
      <c r="AU288">
        <v>0</v>
      </c>
      <c r="AV288">
        <v>0</v>
      </c>
      <c r="AW288">
        <v>0</v>
      </c>
      <c r="AX288">
        <v>3000</v>
      </c>
      <c r="AY288">
        <v>126.36985278748261</v>
      </c>
      <c r="AZ288">
        <v>0</v>
      </c>
      <c r="BC288">
        <v>-2873.6301472125174</v>
      </c>
      <c r="BE288" t="s">
        <v>114</v>
      </c>
      <c r="BH288">
        <v>-125.33966377019337</v>
      </c>
      <c r="BI288">
        <v>-10.444971980849447</v>
      </c>
      <c r="BK288" t="s">
        <v>116</v>
      </c>
      <c r="BL288">
        <v>0</v>
      </c>
      <c r="BM288">
        <v>-2998.9698109827109</v>
      </c>
      <c r="BR288">
        <v>0</v>
      </c>
      <c r="BS288">
        <v>1.0301890172891035</v>
      </c>
      <c r="BW288" t="s">
        <v>167</v>
      </c>
      <c r="BX288" t="s">
        <v>168</v>
      </c>
      <c r="BZ288" t="s">
        <v>968</v>
      </c>
    </row>
    <row r="289" spans="1:83">
      <c r="A289">
        <v>1223</v>
      </c>
      <c r="B289" t="s">
        <v>867</v>
      </c>
      <c r="C289" t="s">
        <v>54</v>
      </c>
      <c r="D289" t="s">
        <v>1</v>
      </c>
      <c r="E289" t="s">
        <v>115</v>
      </c>
      <c r="F289" t="s">
        <v>99</v>
      </c>
      <c r="G289" t="s">
        <v>100</v>
      </c>
      <c r="H289" t="s">
        <v>128</v>
      </c>
      <c r="I289" t="s">
        <v>100</v>
      </c>
      <c r="J289" t="s">
        <v>101</v>
      </c>
      <c r="K289" t="s">
        <v>559</v>
      </c>
      <c r="L289" t="s">
        <v>559</v>
      </c>
      <c r="M289" t="s">
        <v>100</v>
      </c>
      <c r="N289" t="s">
        <v>551</v>
      </c>
      <c r="O289" t="s">
        <v>100</v>
      </c>
      <c r="Q289" t="s">
        <v>551</v>
      </c>
      <c r="R289" t="s">
        <v>119</v>
      </c>
      <c r="S289" t="s">
        <v>130</v>
      </c>
      <c r="T289" t="s">
        <v>120</v>
      </c>
      <c r="U289" t="s">
        <v>101</v>
      </c>
      <c r="V289" t="s">
        <v>121</v>
      </c>
      <c r="W289" t="s">
        <v>122</v>
      </c>
      <c r="X289" t="s">
        <v>123</v>
      </c>
      <c r="Y289">
        <v>1</v>
      </c>
      <c r="Z289" t="s">
        <v>596</v>
      </c>
      <c r="AA289" s="280">
        <v>43285</v>
      </c>
      <c r="AB289" t="s">
        <v>114</v>
      </c>
      <c r="AC289" t="s">
        <v>124</v>
      </c>
      <c r="AD289" s="280">
        <v>44651</v>
      </c>
      <c r="AE289" t="s">
        <v>125</v>
      </c>
      <c r="AF289">
        <v>6</v>
      </c>
      <c r="AG289">
        <v>0</v>
      </c>
      <c r="AH289">
        <v>0</v>
      </c>
      <c r="AI289" t="s">
        <v>126</v>
      </c>
      <c r="AL289">
        <v>1.0082191780821916</v>
      </c>
      <c r="AN289">
        <v>1.0082191780821916</v>
      </c>
      <c r="AO289">
        <v>8.219178082191636E-3</v>
      </c>
      <c r="AP289" t="s">
        <v>1051</v>
      </c>
      <c r="AR289" t="s">
        <v>127</v>
      </c>
      <c r="AS289">
        <v>5400</v>
      </c>
      <c r="AU289">
        <v>0</v>
      </c>
      <c r="AV289">
        <v>0</v>
      </c>
      <c r="AW289">
        <v>0</v>
      </c>
      <c r="AX289">
        <v>5400</v>
      </c>
      <c r="AY289">
        <v>227.46573501746843</v>
      </c>
      <c r="AZ289">
        <v>0</v>
      </c>
      <c r="BC289">
        <v>-5172.5342649825316</v>
      </c>
      <c r="BE289" t="s">
        <v>114</v>
      </c>
      <c r="BH289">
        <v>-225.6113947863478</v>
      </c>
      <c r="BI289">
        <v>-18.800949565528985</v>
      </c>
      <c r="BK289" t="s">
        <v>116</v>
      </c>
      <c r="BL289">
        <v>0</v>
      </c>
      <c r="BM289">
        <v>-5398.1456597688793</v>
      </c>
      <c r="BR289">
        <v>0</v>
      </c>
      <c r="BS289">
        <v>1.8543402311206592</v>
      </c>
      <c r="BW289" t="s">
        <v>167</v>
      </c>
      <c r="BX289" t="s">
        <v>168</v>
      </c>
      <c r="BZ289" t="s">
        <v>1005</v>
      </c>
    </row>
    <row r="290" spans="1:83">
      <c r="A290">
        <v>1226</v>
      </c>
      <c r="B290" t="s">
        <v>851</v>
      </c>
      <c r="C290" t="s">
        <v>54</v>
      </c>
      <c r="D290" t="s">
        <v>1</v>
      </c>
      <c r="E290" t="s">
        <v>115</v>
      </c>
      <c r="F290" t="s">
        <v>99</v>
      </c>
      <c r="G290" t="s">
        <v>100</v>
      </c>
      <c r="H290" t="s">
        <v>128</v>
      </c>
      <c r="I290" t="s">
        <v>100</v>
      </c>
      <c r="J290" t="s">
        <v>101</v>
      </c>
      <c r="K290" t="s">
        <v>559</v>
      </c>
      <c r="L290" t="s">
        <v>559</v>
      </c>
      <c r="M290" t="s">
        <v>100</v>
      </c>
      <c r="N290" t="s">
        <v>551</v>
      </c>
      <c r="O290" t="s">
        <v>100</v>
      </c>
      <c r="Q290" t="s">
        <v>551</v>
      </c>
      <c r="R290" t="s">
        <v>119</v>
      </c>
      <c r="S290" t="s">
        <v>130</v>
      </c>
      <c r="T290" t="s">
        <v>120</v>
      </c>
      <c r="U290" t="s">
        <v>101</v>
      </c>
      <c r="V290" t="s">
        <v>121</v>
      </c>
      <c r="W290" t="s">
        <v>122</v>
      </c>
      <c r="X290" t="s">
        <v>123</v>
      </c>
      <c r="Y290">
        <v>1</v>
      </c>
      <c r="Z290" t="s">
        <v>596</v>
      </c>
      <c r="AA290" s="280">
        <v>43285</v>
      </c>
      <c r="AB290" t="s">
        <v>114</v>
      </c>
      <c r="AC290" t="s">
        <v>124</v>
      </c>
      <c r="AD290" s="280">
        <v>44651</v>
      </c>
      <c r="AE290" t="s">
        <v>125</v>
      </c>
      <c r="AF290">
        <v>6</v>
      </c>
      <c r="AG290">
        <v>0</v>
      </c>
      <c r="AH290">
        <v>0</v>
      </c>
      <c r="AI290" t="s">
        <v>126</v>
      </c>
      <c r="AL290">
        <v>1.0082191780821916</v>
      </c>
      <c r="AN290">
        <v>1.0082191780821916</v>
      </c>
      <c r="AO290">
        <v>8.219178082191636E-3</v>
      </c>
      <c r="AP290" t="s">
        <v>1050</v>
      </c>
      <c r="AR290" t="s">
        <v>127</v>
      </c>
      <c r="AS290">
        <v>5400</v>
      </c>
      <c r="AU290">
        <v>0</v>
      </c>
      <c r="AV290">
        <v>0</v>
      </c>
      <c r="AW290">
        <v>0</v>
      </c>
      <c r="AX290">
        <v>5400</v>
      </c>
      <c r="AY290">
        <v>227.46573501746843</v>
      </c>
      <c r="AZ290">
        <v>0</v>
      </c>
      <c r="BC290">
        <v>-5172.5342649825316</v>
      </c>
      <c r="BE290" t="s">
        <v>114</v>
      </c>
      <c r="BH290">
        <v>-225.6113947863478</v>
      </c>
      <c r="BI290">
        <v>-18.800949565528985</v>
      </c>
      <c r="BK290" t="s">
        <v>116</v>
      </c>
      <c r="BL290">
        <v>0</v>
      </c>
      <c r="BM290">
        <v>-5398.1456597688793</v>
      </c>
      <c r="BR290">
        <v>0</v>
      </c>
      <c r="BS290">
        <v>1.8543402311206592</v>
      </c>
      <c r="BW290" t="s">
        <v>167</v>
      </c>
      <c r="BX290" t="s">
        <v>168</v>
      </c>
      <c r="BZ290" t="s">
        <v>1020</v>
      </c>
    </row>
    <row r="291" spans="1:83">
      <c r="A291">
        <v>1227</v>
      </c>
      <c r="B291" t="s">
        <v>859</v>
      </c>
      <c r="C291" t="s">
        <v>54</v>
      </c>
      <c r="D291" t="s">
        <v>1</v>
      </c>
      <c r="E291" t="s">
        <v>115</v>
      </c>
      <c r="F291" t="s">
        <v>99</v>
      </c>
      <c r="G291" t="s">
        <v>100</v>
      </c>
      <c r="H291" t="s">
        <v>128</v>
      </c>
      <c r="I291" t="s">
        <v>100</v>
      </c>
      <c r="J291" t="s">
        <v>101</v>
      </c>
      <c r="K291" t="s">
        <v>559</v>
      </c>
      <c r="L291" t="s">
        <v>559</v>
      </c>
      <c r="M291" t="s">
        <v>100</v>
      </c>
      <c r="N291" t="s">
        <v>551</v>
      </c>
      <c r="O291" t="s">
        <v>100</v>
      </c>
      <c r="Q291" t="s">
        <v>551</v>
      </c>
      <c r="R291" t="s">
        <v>119</v>
      </c>
      <c r="S291" t="s">
        <v>130</v>
      </c>
      <c r="T291" t="s">
        <v>120</v>
      </c>
      <c r="U291" t="s">
        <v>101</v>
      </c>
      <c r="V291" t="s">
        <v>121</v>
      </c>
      <c r="W291" t="s">
        <v>122</v>
      </c>
      <c r="X291" t="s">
        <v>123</v>
      </c>
      <c r="Y291">
        <v>1</v>
      </c>
      <c r="Z291" t="s">
        <v>596</v>
      </c>
      <c r="AA291" s="280">
        <v>43285</v>
      </c>
      <c r="AB291" t="s">
        <v>114</v>
      </c>
      <c r="AC291" t="s">
        <v>124</v>
      </c>
      <c r="AD291" s="280">
        <v>44651</v>
      </c>
      <c r="AE291" t="s">
        <v>125</v>
      </c>
      <c r="AF291">
        <v>6</v>
      </c>
      <c r="AG291">
        <v>0</v>
      </c>
      <c r="AH291">
        <v>0</v>
      </c>
      <c r="AI291" t="s">
        <v>126</v>
      </c>
      <c r="AL291">
        <v>1.0082191780821916</v>
      </c>
      <c r="AN291">
        <v>1.0082191780821916</v>
      </c>
      <c r="AO291">
        <v>8.219178082191636E-3</v>
      </c>
      <c r="AP291" t="s">
        <v>1050</v>
      </c>
      <c r="AR291" t="s">
        <v>127</v>
      </c>
      <c r="AS291">
        <v>5400</v>
      </c>
      <c r="AU291">
        <v>0</v>
      </c>
      <c r="AV291">
        <v>0</v>
      </c>
      <c r="AW291">
        <v>0</v>
      </c>
      <c r="AX291">
        <v>5400</v>
      </c>
      <c r="AY291">
        <v>227.46573501746843</v>
      </c>
      <c r="AZ291">
        <v>0</v>
      </c>
      <c r="BC291">
        <v>-5172.5342649825316</v>
      </c>
      <c r="BE291" t="s">
        <v>114</v>
      </c>
      <c r="BH291">
        <v>-225.6113947863478</v>
      </c>
      <c r="BI291">
        <v>-18.800949565528985</v>
      </c>
      <c r="BK291" t="s">
        <v>116</v>
      </c>
      <c r="BL291">
        <v>0</v>
      </c>
      <c r="BM291">
        <v>-5398.1456597688793</v>
      </c>
      <c r="BR291">
        <v>0</v>
      </c>
      <c r="BS291">
        <v>1.8543402311206592</v>
      </c>
      <c r="BW291" t="s">
        <v>167</v>
      </c>
      <c r="BX291" t="s">
        <v>168</v>
      </c>
      <c r="BZ291" t="s">
        <v>1021</v>
      </c>
    </row>
    <row r="292" spans="1:83">
      <c r="A292">
        <v>1228</v>
      </c>
      <c r="B292" t="s">
        <v>877</v>
      </c>
      <c r="C292" t="s">
        <v>54</v>
      </c>
      <c r="D292" t="s">
        <v>1</v>
      </c>
      <c r="E292" t="s">
        <v>115</v>
      </c>
      <c r="F292" t="s">
        <v>99</v>
      </c>
      <c r="G292" t="s">
        <v>100</v>
      </c>
      <c r="H292" t="s">
        <v>128</v>
      </c>
      <c r="I292" t="s">
        <v>100</v>
      </c>
      <c r="J292" t="s">
        <v>101</v>
      </c>
      <c r="K292" t="s">
        <v>559</v>
      </c>
      <c r="L292" t="s">
        <v>559</v>
      </c>
      <c r="M292" t="s">
        <v>100</v>
      </c>
      <c r="N292" t="s">
        <v>551</v>
      </c>
      <c r="O292" t="s">
        <v>100</v>
      </c>
      <c r="Q292" t="s">
        <v>551</v>
      </c>
      <c r="R292" t="s">
        <v>119</v>
      </c>
      <c r="S292" t="s">
        <v>130</v>
      </c>
      <c r="T292" t="s">
        <v>120</v>
      </c>
      <c r="U292" t="s">
        <v>101</v>
      </c>
      <c r="V292" t="s">
        <v>121</v>
      </c>
      <c r="W292" t="s">
        <v>122</v>
      </c>
      <c r="X292" t="s">
        <v>123</v>
      </c>
      <c r="Y292">
        <v>1</v>
      </c>
      <c r="Z292" t="s">
        <v>596</v>
      </c>
      <c r="AA292" s="280">
        <v>43285</v>
      </c>
      <c r="AB292" t="s">
        <v>114</v>
      </c>
      <c r="AC292" t="s">
        <v>124</v>
      </c>
      <c r="AD292" s="280">
        <v>44651</v>
      </c>
      <c r="AE292" t="s">
        <v>125</v>
      </c>
      <c r="AF292">
        <v>6</v>
      </c>
      <c r="AG292">
        <v>0</v>
      </c>
      <c r="AH292">
        <v>0</v>
      </c>
      <c r="AI292" t="s">
        <v>126</v>
      </c>
      <c r="AL292">
        <v>1.0082191780821916</v>
      </c>
      <c r="AN292">
        <v>1.0082191780821916</v>
      </c>
      <c r="AO292">
        <v>8.219178082191636E-3</v>
      </c>
      <c r="AP292" t="s">
        <v>1050</v>
      </c>
      <c r="AR292" t="s">
        <v>127</v>
      </c>
      <c r="AS292">
        <v>5400</v>
      </c>
      <c r="AU292">
        <v>0</v>
      </c>
      <c r="AV292">
        <v>0</v>
      </c>
      <c r="AW292">
        <v>0</v>
      </c>
      <c r="AX292">
        <v>5400</v>
      </c>
      <c r="AY292">
        <v>227.46573501746843</v>
      </c>
      <c r="AZ292">
        <v>0</v>
      </c>
      <c r="BC292">
        <v>-5172.5342649825316</v>
      </c>
      <c r="BE292" t="s">
        <v>114</v>
      </c>
      <c r="BH292">
        <v>-225.6113947863478</v>
      </c>
      <c r="BI292">
        <v>-18.800949565528985</v>
      </c>
      <c r="BK292" t="s">
        <v>116</v>
      </c>
      <c r="BL292">
        <v>0</v>
      </c>
      <c r="BM292">
        <v>-5398.1456597688793</v>
      </c>
      <c r="BR292">
        <v>0</v>
      </c>
      <c r="BS292">
        <v>1.8543402311206592</v>
      </c>
      <c r="BW292" t="s">
        <v>167</v>
      </c>
      <c r="BX292" t="s">
        <v>168</v>
      </c>
      <c r="BZ292" t="s">
        <v>997</v>
      </c>
    </row>
    <row r="293" spans="1:83">
      <c r="A293">
        <v>1229</v>
      </c>
      <c r="B293" t="s">
        <v>877</v>
      </c>
      <c r="C293" t="s">
        <v>54</v>
      </c>
      <c r="D293" t="s">
        <v>1</v>
      </c>
      <c r="E293" t="s">
        <v>115</v>
      </c>
      <c r="F293" t="s">
        <v>99</v>
      </c>
      <c r="G293" t="s">
        <v>100</v>
      </c>
      <c r="H293" t="s">
        <v>128</v>
      </c>
      <c r="I293" t="s">
        <v>100</v>
      </c>
      <c r="J293" t="s">
        <v>101</v>
      </c>
      <c r="K293" t="s">
        <v>559</v>
      </c>
      <c r="L293" t="s">
        <v>559</v>
      </c>
      <c r="M293" t="s">
        <v>100</v>
      </c>
      <c r="N293" t="s">
        <v>551</v>
      </c>
      <c r="O293" t="s">
        <v>100</v>
      </c>
      <c r="Q293" t="s">
        <v>551</v>
      </c>
      <c r="R293" t="s">
        <v>119</v>
      </c>
      <c r="S293" t="s">
        <v>130</v>
      </c>
      <c r="T293" t="s">
        <v>120</v>
      </c>
      <c r="U293" t="s">
        <v>101</v>
      </c>
      <c r="V293" t="s">
        <v>121</v>
      </c>
      <c r="W293" t="s">
        <v>122</v>
      </c>
      <c r="X293" t="s">
        <v>123</v>
      </c>
      <c r="Y293">
        <v>1</v>
      </c>
      <c r="Z293" t="s">
        <v>596</v>
      </c>
      <c r="AA293" s="280">
        <v>43285</v>
      </c>
      <c r="AB293" t="s">
        <v>114</v>
      </c>
      <c r="AC293" t="s">
        <v>124</v>
      </c>
      <c r="AD293" s="280">
        <v>44651</v>
      </c>
      <c r="AE293" t="s">
        <v>125</v>
      </c>
      <c r="AF293">
        <v>6</v>
      </c>
      <c r="AG293">
        <v>0</v>
      </c>
      <c r="AH293">
        <v>0</v>
      </c>
      <c r="AI293" t="s">
        <v>126</v>
      </c>
      <c r="AL293">
        <v>1.0082191780821916</v>
      </c>
      <c r="AN293">
        <v>1.0082191780821916</v>
      </c>
      <c r="AO293">
        <v>8.219178082191636E-3</v>
      </c>
      <c r="AP293" t="s">
        <v>1050</v>
      </c>
      <c r="AR293" t="s">
        <v>127</v>
      </c>
      <c r="AS293">
        <v>5400</v>
      </c>
      <c r="AU293">
        <v>0</v>
      </c>
      <c r="AV293">
        <v>0</v>
      </c>
      <c r="AW293">
        <v>0</v>
      </c>
      <c r="AX293">
        <v>5400</v>
      </c>
      <c r="AY293">
        <v>227.46573501746843</v>
      </c>
      <c r="AZ293">
        <v>0</v>
      </c>
      <c r="BC293">
        <v>-5172.5342649825316</v>
      </c>
      <c r="BE293" t="s">
        <v>114</v>
      </c>
      <c r="BH293">
        <v>-225.6113947863478</v>
      </c>
      <c r="BI293">
        <v>-18.800949565528985</v>
      </c>
      <c r="BK293" t="s">
        <v>116</v>
      </c>
      <c r="BL293">
        <v>0</v>
      </c>
      <c r="BM293">
        <v>-5398.1456597688793</v>
      </c>
      <c r="BR293">
        <v>0</v>
      </c>
      <c r="BS293">
        <v>1.8543402311206592</v>
      </c>
      <c r="BW293" t="s">
        <v>167</v>
      </c>
      <c r="BX293" t="s">
        <v>168</v>
      </c>
      <c r="BZ293" t="s">
        <v>997</v>
      </c>
    </row>
    <row r="294" spans="1:83">
      <c r="A294">
        <v>1231</v>
      </c>
      <c r="B294" t="s">
        <v>877</v>
      </c>
      <c r="C294" t="s">
        <v>54</v>
      </c>
      <c r="D294" t="s">
        <v>1</v>
      </c>
      <c r="E294" t="s">
        <v>115</v>
      </c>
      <c r="F294" t="s">
        <v>99</v>
      </c>
      <c r="G294" t="s">
        <v>100</v>
      </c>
      <c r="H294" t="s">
        <v>128</v>
      </c>
      <c r="I294" t="s">
        <v>100</v>
      </c>
      <c r="J294" t="s">
        <v>101</v>
      </c>
      <c r="K294" t="s">
        <v>559</v>
      </c>
      <c r="L294" t="s">
        <v>559</v>
      </c>
      <c r="M294" t="s">
        <v>100</v>
      </c>
      <c r="N294" t="s">
        <v>551</v>
      </c>
      <c r="O294" t="s">
        <v>100</v>
      </c>
      <c r="Q294" t="s">
        <v>551</v>
      </c>
      <c r="R294" t="s">
        <v>119</v>
      </c>
      <c r="S294" t="s">
        <v>130</v>
      </c>
      <c r="T294" t="s">
        <v>120</v>
      </c>
      <c r="U294" t="s">
        <v>101</v>
      </c>
      <c r="V294" t="s">
        <v>121</v>
      </c>
      <c r="W294" t="s">
        <v>122</v>
      </c>
      <c r="X294" t="s">
        <v>123</v>
      </c>
      <c r="Y294">
        <v>1</v>
      </c>
      <c r="Z294" t="s">
        <v>596</v>
      </c>
      <c r="AA294" s="280">
        <v>43285</v>
      </c>
      <c r="AB294" t="s">
        <v>114</v>
      </c>
      <c r="AC294" t="s">
        <v>124</v>
      </c>
      <c r="AD294" s="280">
        <v>44651</v>
      </c>
      <c r="AE294" t="s">
        <v>125</v>
      </c>
      <c r="AF294">
        <v>6</v>
      </c>
      <c r="AG294">
        <v>0</v>
      </c>
      <c r="AH294">
        <v>0</v>
      </c>
      <c r="AI294" t="s">
        <v>126</v>
      </c>
      <c r="AL294">
        <v>1.0082191780821916</v>
      </c>
      <c r="AN294">
        <v>1.0082191780821916</v>
      </c>
      <c r="AO294">
        <v>8.219178082191636E-3</v>
      </c>
      <c r="AP294" t="s">
        <v>1050</v>
      </c>
      <c r="AR294" t="s">
        <v>127</v>
      </c>
      <c r="AS294">
        <v>5400</v>
      </c>
      <c r="AU294">
        <v>0</v>
      </c>
      <c r="AV294">
        <v>0</v>
      </c>
      <c r="AW294">
        <v>0</v>
      </c>
      <c r="AX294">
        <v>5400</v>
      </c>
      <c r="AY294">
        <v>227.46573501746843</v>
      </c>
      <c r="AZ294">
        <v>0</v>
      </c>
      <c r="BC294">
        <v>-5172.5342649825316</v>
      </c>
      <c r="BE294" t="s">
        <v>114</v>
      </c>
      <c r="BH294">
        <v>-225.6113947863478</v>
      </c>
      <c r="BI294">
        <v>-18.800949565528985</v>
      </c>
      <c r="BK294" t="s">
        <v>116</v>
      </c>
      <c r="BL294">
        <v>0</v>
      </c>
      <c r="BM294">
        <v>-5398.1456597688793</v>
      </c>
      <c r="BR294">
        <v>0</v>
      </c>
      <c r="BS294">
        <v>1.8543402311206592</v>
      </c>
      <c r="BW294" t="s">
        <v>167</v>
      </c>
      <c r="BX294" t="s">
        <v>168</v>
      </c>
      <c r="BZ294" t="s">
        <v>1004</v>
      </c>
    </row>
    <row r="295" spans="1:83">
      <c r="A295">
        <v>1232</v>
      </c>
      <c r="B295" t="s">
        <v>884</v>
      </c>
      <c r="C295" t="s">
        <v>54</v>
      </c>
      <c r="D295" t="s">
        <v>1</v>
      </c>
      <c r="E295" t="s">
        <v>115</v>
      </c>
      <c r="F295" t="s">
        <v>99</v>
      </c>
      <c r="G295" t="s">
        <v>100</v>
      </c>
      <c r="H295" t="s">
        <v>128</v>
      </c>
      <c r="I295" t="s">
        <v>100</v>
      </c>
      <c r="J295" t="s">
        <v>101</v>
      </c>
      <c r="K295" t="s">
        <v>559</v>
      </c>
      <c r="L295" t="s">
        <v>559</v>
      </c>
      <c r="M295" t="s">
        <v>100</v>
      </c>
      <c r="N295" t="s">
        <v>551</v>
      </c>
      <c r="O295" t="s">
        <v>100</v>
      </c>
      <c r="Q295" t="s">
        <v>551</v>
      </c>
      <c r="R295" t="s">
        <v>119</v>
      </c>
      <c r="S295" t="s">
        <v>130</v>
      </c>
      <c r="T295" t="s">
        <v>120</v>
      </c>
      <c r="U295" t="s">
        <v>101</v>
      </c>
      <c r="V295" t="s">
        <v>121</v>
      </c>
      <c r="W295" t="s">
        <v>122</v>
      </c>
      <c r="X295" t="s">
        <v>123</v>
      </c>
      <c r="Y295">
        <v>1</v>
      </c>
      <c r="Z295" t="s">
        <v>596</v>
      </c>
      <c r="AA295" s="280">
        <v>43285</v>
      </c>
      <c r="AB295" t="s">
        <v>114</v>
      </c>
      <c r="AC295" t="s">
        <v>124</v>
      </c>
      <c r="AD295" s="280">
        <v>44651</v>
      </c>
      <c r="AE295" t="s">
        <v>125</v>
      </c>
      <c r="AF295">
        <v>6</v>
      </c>
      <c r="AG295">
        <v>0</v>
      </c>
      <c r="AH295">
        <v>0</v>
      </c>
      <c r="AI295" t="s">
        <v>126</v>
      </c>
      <c r="AL295">
        <v>1.0082191780821916</v>
      </c>
      <c r="AN295">
        <v>1.0082191780821916</v>
      </c>
      <c r="AO295">
        <v>8.219178082191636E-3</v>
      </c>
      <c r="AP295" t="s">
        <v>1050</v>
      </c>
      <c r="AR295" t="s">
        <v>127</v>
      </c>
      <c r="AS295">
        <v>5400</v>
      </c>
      <c r="AU295">
        <v>0</v>
      </c>
      <c r="AV295">
        <v>0</v>
      </c>
      <c r="AW295">
        <v>0</v>
      </c>
      <c r="AX295">
        <v>5400</v>
      </c>
      <c r="AY295">
        <v>227.46573501746843</v>
      </c>
      <c r="AZ295">
        <v>0</v>
      </c>
      <c r="BC295">
        <v>-5172.5342649825316</v>
      </c>
      <c r="BE295" t="s">
        <v>114</v>
      </c>
      <c r="BH295">
        <v>-225.6113947863478</v>
      </c>
      <c r="BI295">
        <v>-18.800949565528985</v>
      </c>
      <c r="BK295" t="s">
        <v>116</v>
      </c>
      <c r="BL295">
        <v>0</v>
      </c>
      <c r="BM295">
        <v>-5398.1456597688793</v>
      </c>
      <c r="BR295">
        <v>0</v>
      </c>
      <c r="BS295">
        <v>1.8543402311206592</v>
      </c>
      <c r="BW295" t="s">
        <v>167</v>
      </c>
      <c r="BX295" t="s">
        <v>168</v>
      </c>
      <c r="BZ295" t="s">
        <v>999</v>
      </c>
    </row>
    <row r="296" spans="1:83">
      <c r="A296">
        <v>1234</v>
      </c>
      <c r="B296" t="s">
        <v>875</v>
      </c>
      <c r="C296" t="s">
        <v>54</v>
      </c>
      <c r="D296" t="s">
        <v>1</v>
      </c>
      <c r="E296" t="s">
        <v>115</v>
      </c>
      <c r="F296" t="s">
        <v>99</v>
      </c>
      <c r="G296" t="s">
        <v>100</v>
      </c>
      <c r="H296" t="s">
        <v>128</v>
      </c>
      <c r="I296" t="s">
        <v>100</v>
      </c>
      <c r="J296" t="s">
        <v>101</v>
      </c>
      <c r="K296" t="s">
        <v>559</v>
      </c>
      <c r="L296" t="s">
        <v>559</v>
      </c>
      <c r="M296" t="s">
        <v>100</v>
      </c>
      <c r="N296" t="s">
        <v>551</v>
      </c>
      <c r="O296" t="s">
        <v>100</v>
      </c>
      <c r="Q296" t="s">
        <v>551</v>
      </c>
      <c r="R296" t="s">
        <v>119</v>
      </c>
      <c r="S296" t="s">
        <v>130</v>
      </c>
      <c r="T296" t="s">
        <v>120</v>
      </c>
      <c r="U296" t="s">
        <v>101</v>
      </c>
      <c r="V296" t="s">
        <v>121</v>
      </c>
      <c r="W296" t="s">
        <v>122</v>
      </c>
      <c r="X296" t="s">
        <v>123</v>
      </c>
      <c r="Y296">
        <v>1</v>
      </c>
      <c r="Z296" t="s">
        <v>596</v>
      </c>
      <c r="AA296" s="280">
        <v>43285</v>
      </c>
      <c r="AB296" t="s">
        <v>114</v>
      </c>
      <c r="AC296" t="s">
        <v>124</v>
      </c>
      <c r="AD296" s="280">
        <v>44651</v>
      </c>
      <c r="AE296" t="s">
        <v>125</v>
      </c>
      <c r="AF296">
        <v>6</v>
      </c>
      <c r="AG296">
        <v>0</v>
      </c>
      <c r="AH296">
        <v>0</v>
      </c>
      <c r="AI296" t="s">
        <v>126</v>
      </c>
      <c r="AL296">
        <v>1.0082191780821916</v>
      </c>
      <c r="AN296">
        <v>1.0082191780821916</v>
      </c>
      <c r="AO296">
        <v>8.219178082191636E-3</v>
      </c>
      <c r="AP296" t="s">
        <v>1050</v>
      </c>
      <c r="AR296" t="s">
        <v>127</v>
      </c>
      <c r="AS296">
        <v>5400</v>
      </c>
      <c r="AU296">
        <v>0</v>
      </c>
      <c r="AV296">
        <v>0</v>
      </c>
      <c r="AW296">
        <v>0</v>
      </c>
      <c r="AX296">
        <v>5400</v>
      </c>
      <c r="AY296">
        <v>227.46573501746843</v>
      </c>
      <c r="AZ296">
        <v>0</v>
      </c>
      <c r="BC296">
        <v>-5172.5342649825316</v>
      </c>
      <c r="BE296" t="s">
        <v>114</v>
      </c>
      <c r="BH296">
        <v>-225.6113947863478</v>
      </c>
      <c r="BI296">
        <v>-18.800949565528985</v>
      </c>
      <c r="BK296" t="s">
        <v>116</v>
      </c>
      <c r="BL296">
        <v>0</v>
      </c>
      <c r="BM296">
        <v>-5398.1456597688793</v>
      </c>
      <c r="BR296">
        <v>0</v>
      </c>
      <c r="BS296">
        <v>1.8543402311206592</v>
      </c>
      <c r="BW296" t="s">
        <v>167</v>
      </c>
      <c r="BX296" t="s">
        <v>168</v>
      </c>
      <c r="BZ296" t="s">
        <v>940</v>
      </c>
    </row>
    <row r="297" spans="1:83">
      <c r="A297">
        <v>1235</v>
      </c>
      <c r="B297" t="s">
        <v>930</v>
      </c>
      <c r="C297" t="s">
        <v>54</v>
      </c>
      <c r="D297" t="s">
        <v>1</v>
      </c>
      <c r="E297" t="s">
        <v>115</v>
      </c>
      <c r="F297" t="s">
        <v>99</v>
      </c>
      <c r="G297" t="s">
        <v>100</v>
      </c>
      <c r="H297" t="s">
        <v>128</v>
      </c>
      <c r="I297" t="s">
        <v>100</v>
      </c>
      <c r="J297" t="s">
        <v>101</v>
      </c>
      <c r="K297" t="s">
        <v>559</v>
      </c>
      <c r="L297" t="s">
        <v>559</v>
      </c>
      <c r="M297" t="s">
        <v>100</v>
      </c>
      <c r="N297" t="s">
        <v>551</v>
      </c>
      <c r="O297" t="s">
        <v>100</v>
      </c>
      <c r="Q297" t="s">
        <v>551</v>
      </c>
      <c r="R297" t="s">
        <v>119</v>
      </c>
      <c r="S297" t="s">
        <v>130</v>
      </c>
      <c r="T297" t="s">
        <v>120</v>
      </c>
      <c r="U297" t="s">
        <v>101</v>
      </c>
      <c r="V297" t="s">
        <v>121</v>
      </c>
      <c r="W297" t="s">
        <v>122</v>
      </c>
      <c r="X297" t="s">
        <v>123</v>
      </c>
      <c r="Y297">
        <v>1</v>
      </c>
      <c r="Z297" t="s">
        <v>596</v>
      </c>
      <c r="AA297" s="280">
        <v>43285</v>
      </c>
      <c r="AB297" t="s">
        <v>114</v>
      </c>
      <c r="AC297" t="s">
        <v>124</v>
      </c>
      <c r="AD297" s="280">
        <v>44651</v>
      </c>
      <c r="AE297" t="s">
        <v>125</v>
      </c>
      <c r="AF297">
        <v>6</v>
      </c>
      <c r="AG297">
        <v>0</v>
      </c>
      <c r="AH297">
        <v>0</v>
      </c>
      <c r="AI297" t="s">
        <v>126</v>
      </c>
      <c r="AL297">
        <v>1.0082191780821916</v>
      </c>
      <c r="AN297">
        <v>1.0082191780821916</v>
      </c>
      <c r="AO297">
        <v>8.219178082191636E-3</v>
      </c>
      <c r="AP297" t="s">
        <v>1050</v>
      </c>
      <c r="AR297" t="s">
        <v>127</v>
      </c>
      <c r="AS297">
        <v>5400</v>
      </c>
      <c r="AU297">
        <v>0</v>
      </c>
      <c r="AV297">
        <v>0</v>
      </c>
      <c r="AW297">
        <v>0</v>
      </c>
      <c r="AX297">
        <v>5400</v>
      </c>
      <c r="AY297">
        <v>227.46573501746843</v>
      </c>
      <c r="AZ297">
        <v>0</v>
      </c>
      <c r="BC297">
        <v>-5172.5342649825316</v>
      </c>
      <c r="BE297" t="s">
        <v>114</v>
      </c>
      <c r="BH297">
        <v>-225.6113947863478</v>
      </c>
      <c r="BI297">
        <v>-18.800949565528985</v>
      </c>
      <c r="BK297" t="s">
        <v>116</v>
      </c>
      <c r="BL297">
        <v>0</v>
      </c>
      <c r="BM297">
        <v>-5398.1456597688793</v>
      </c>
      <c r="BR297">
        <v>0</v>
      </c>
      <c r="BS297">
        <v>1.8543402311206592</v>
      </c>
      <c r="BW297" t="s">
        <v>167</v>
      </c>
      <c r="BX297" t="s">
        <v>168</v>
      </c>
      <c r="BZ297" t="s">
        <v>1022</v>
      </c>
    </row>
    <row r="298" spans="1:83">
      <c r="A298">
        <v>1236</v>
      </c>
      <c r="B298" t="s">
        <v>875</v>
      </c>
      <c r="C298" t="s">
        <v>54</v>
      </c>
      <c r="D298" t="s">
        <v>1</v>
      </c>
      <c r="E298" t="s">
        <v>115</v>
      </c>
      <c r="F298" t="s">
        <v>99</v>
      </c>
      <c r="G298" t="s">
        <v>100</v>
      </c>
      <c r="H298" t="s">
        <v>128</v>
      </c>
      <c r="I298" t="s">
        <v>100</v>
      </c>
      <c r="J298" t="s">
        <v>101</v>
      </c>
      <c r="K298" t="s">
        <v>559</v>
      </c>
      <c r="L298" t="s">
        <v>559</v>
      </c>
      <c r="M298" t="s">
        <v>100</v>
      </c>
      <c r="N298" t="s">
        <v>551</v>
      </c>
      <c r="O298" t="s">
        <v>100</v>
      </c>
      <c r="Q298" t="s">
        <v>551</v>
      </c>
      <c r="R298" t="s">
        <v>119</v>
      </c>
      <c r="S298" t="s">
        <v>130</v>
      </c>
      <c r="T298" t="s">
        <v>120</v>
      </c>
      <c r="U298" t="s">
        <v>101</v>
      </c>
      <c r="V298" t="s">
        <v>121</v>
      </c>
      <c r="W298" t="s">
        <v>122</v>
      </c>
      <c r="X298" t="s">
        <v>123</v>
      </c>
      <c r="Y298">
        <v>1</v>
      </c>
      <c r="Z298" t="s">
        <v>596</v>
      </c>
      <c r="AA298" s="280">
        <v>43285</v>
      </c>
      <c r="AB298" t="s">
        <v>114</v>
      </c>
      <c r="AC298" t="s">
        <v>124</v>
      </c>
      <c r="AD298" s="280">
        <v>44651</v>
      </c>
      <c r="AE298" t="s">
        <v>125</v>
      </c>
      <c r="AF298">
        <v>6</v>
      </c>
      <c r="AG298">
        <v>0</v>
      </c>
      <c r="AH298">
        <v>0</v>
      </c>
      <c r="AI298" t="s">
        <v>126</v>
      </c>
      <c r="AL298">
        <v>1.0082191780821916</v>
      </c>
      <c r="AN298">
        <v>1.0082191780821916</v>
      </c>
      <c r="AO298">
        <v>8.219178082191636E-3</v>
      </c>
      <c r="AP298" t="s">
        <v>1050</v>
      </c>
      <c r="AR298" t="s">
        <v>127</v>
      </c>
      <c r="AS298">
        <v>5400</v>
      </c>
      <c r="AU298">
        <v>0</v>
      </c>
      <c r="AV298">
        <v>0</v>
      </c>
      <c r="AW298">
        <v>0</v>
      </c>
      <c r="AX298">
        <v>5400</v>
      </c>
      <c r="AY298">
        <v>227.46573501746843</v>
      </c>
      <c r="AZ298">
        <v>0</v>
      </c>
      <c r="BC298">
        <v>-5172.5342649825316</v>
      </c>
      <c r="BE298" t="s">
        <v>114</v>
      </c>
      <c r="BH298">
        <v>-225.6113947863478</v>
      </c>
      <c r="BI298">
        <v>-18.800949565528985</v>
      </c>
      <c r="BK298" t="s">
        <v>116</v>
      </c>
      <c r="BL298">
        <v>0</v>
      </c>
      <c r="BM298">
        <v>-5398.1456597688793</v>
      </c>
      <c r="BR298">
        <v>0</v>
      </c>
      <c r="BS298">
        <v>1.8543402311206592</v>
      </c>
      <c r="BW298" t="s">
        <v>167</v>
      </c>
      <c r="BX298" t="s">
        <v>168</v>
      </c>
      <c r="BZ298" t="s">
        <v>1017</v>
      </c>
    </row>
    <row r="299" spans="1:83">
      <c r="A299" t="s">
        <v>423</v>
      </c>
      <c r="B299" t="s">
        <v>890</v>
      </c>
      <c r="C299" t="s">
        <v>54</v>
      </c>
      <c r="D299" t="s">
        <v>1</v>
      </c>
      <c r="E299" t="s">
        <v>115</v>
      </c>
      <c r="F299" t="s">
        <v>99</v>
      </c>
      <c r="G299" t="s">
        <v>100</v>
      </c>
      <c r="H299" t="s">
        <v>128</v>
      </c>
      <c r="I299" t="s">
        <v>100</v>
      </c>
      <c r="J299" t="s">
        <v>101</v>
      </c>
      <c r="K299" t="s">
        <v>559</v>
      </c>
      <c r="L299" t="s">
        <v>559</v>
      </c>
      <c r="M299" t="s">
        <v>100</v>
      </c>
      <c r="N299" t="s">
        <v>515</v>
      </c>
      <c r="O299" t="s">
        <v>100</v>
      </c>
      <c r="Q299" t="s">
        <v>515</v>
      </c>
      <c r="R299" t="s">
        <v>119</v>
      </c>
      <c r="S299" t="s">
        <v>130</v>
      </c>
      <c r="T299" t="s">
        <v>120</v>
      </c>
      <c r="U299" t="s">
        <v>101</v>
      </c>
      <c r="V299" t="s">
        <v>121</v>
      </c>
      <c r="W299" t="s">
        <v>122</v>
      </c>
      <c r="X299" t="s">
        <v>123</v>
      </c>
      <c r="Y299">
        <v>1</v>
      </c>
      <c r="Z299" t="s">
        <v>586</v>
      </c>
      <c r="AA299" s="280">
        <v>41533</v>
      </c>
      <c r="AB299" t="s">
        <v>114</v>
      </c>
      <c r="AC299" t="s">
        <v>124</v>
      </c>
      <c r="AD299" s="280">
        <v>44651</v>
      </c>
      <c r="AE299" t="s">
        <v>125</v>
      </c>
      <c r="AF299">
        <v>6</v>
      </c>
      <c r="AG299">
        <v>0</v>
      </c>
      <c r="AH299">
        <v>0</v>
      </c>
      <c r="AI299" t="s">
        <v>126</v>
      </c>
      <c r="AL299">
        <v>1</v>
      </c>
      <c r="AN299">
        <v>1</v>
      </c>
      <c r="AO299">
        <v>0</v>
      </c>
      <c r="AP299" t="s">
        <v>1050</v>
      </c>
      <c r="AR299" t="s">
        <v>127</v>
      </c>
      <c r="AS299">
        <v>1600</v>
      </c>
      <c r="AU299">
        <v>0</v>
      </c>
      <c r="AV299">
        <v>0</v>
      </c>
      <c r="AW299">
        <v>0</v>
      </c>
      <c r="AX299">
        <v>1600</v>
      </c>
      <c r="AY299">
        <v>88.888888888888687</v>
      </c>
      <c r="AZ299">
        <v>0</v>
      </c>
      <c r="BC299">
        <v>-1511.1111111111113</v>
      </c>
      <c r="BE299" t="s">
        <v>114</v>
      </c>
      <c r="BH299">
        <v>-88.888888888888687</v>
      </c>
      <c r="BI299">
        <v>-7.4074074074073906</v>
      </c>
      <c r="BK299" t="s">
        <v>116</v>
      </c>
      <c r="BL299">
        <v>0</v>
      </c>
      <c r="BM299">
        <v>-1600</v>
      </c>
      <c r="BR299">
        <v>0</v>
      </c>
      <c r="BS299">
        <v>0</v>
      </c>
      <c r="BW299" t="s">
        <v>167</v>
      </c>
      <c r="BX299" t="s">
        <v>168</v>
      </c>
      <c r="BZ299" t="s">
        <v>940</v>
      </c>
    </row>
    <row r="300" spans="1:83">
      <c r="A300">
        <v>1190</v>
      </c>
      <c r="B300" t="s">
        <v>866</v>
      </c>
      <c r="C300" t="s">
        <v>54</v>
      </c>
      <c r="D300" t="s">
        <v>1</v>
      </c>
      <c r="E300" t="s">
        <v>115</v>
      </c>
      <c r="F300" t="s">
        <v>99</v>
      </c>
      <c r="G300" t="s">
        <v>100</v>
      </c>
      <c r="H300" t="s">
        <v>128</v>
      </c>
      <c r="I300" t="s">
        <v>100</v>
      </c>
      <c r="J300" t="s">
        <v>101</v>
      </c>
      <c r="K300" t="s">
        <v>559</v>
      </c>
      <c r="L300" t="s">
        <v>559</v>
      </c>
      <c r="M300" t="s">
        <v>100</v>
      </c>
      <c r="N300" t="s">
        <v>494</v>
      </c>
      <c r="O300" t="s">
        <v>100</v>
      </c>
      <c r="Q300" t="s">
        <v>494</v>
      </c>
      <c r="R300" t="s">
        <v>119</v>
      </c>
      <c r="S300" t="s">
        <v>130</v>
      </c>
      <c r="T300" t="s">
        <v>120</v>
      </c>
      <c r="U300" t="s">
        <v>101</v>
      </c>
      <c r="V300" t="s">
        <v>121</v>
      </c>
      <c r="W300" t="s">
        <v>122</v>
      </c>
      <c r="X300" t="s">
        <v>123</v>
      </c>
      <c r="Y300">
        <v>1</v>
      </c>
      <c r="Z300" t="s">
        <v>575</v>
      </c>
      <c r="AA300" s="280">
        <v>39259</v>
      </c>
      <c r="AB300" t="s">
        <v>114</v>
      </c>
      <c r="AC300" t="s">
        <v>124</v>
      </c>
      <c r="AD300" s="280">
        <v>44651</v>
      </c>
      <c r="AE300" t="s">
        <v>125</v>
      </c>
      <c r="AF300">
        <v>6</v>
      </c>
      <c r="AG300">
        <v>0</v>
      </c>
      <c r="AH300">
        <v>0</v>
      </c>
      <c r="AI300" t="s">
        <v>126</v>
      </c>
      <c r="AL300">
        <v>1</v>
      </c>
      <c r="AN300">
        <v>1</v>
      </c>
      <c r="AO300">
        <v>0</v>
      </c>
      <c r="AP300" t="s">
        <v>1051</v>
      </c>
      <c r="AR300" t="s">
        <v>127</v>
      </c>
      <c r="AS300">
        <v>3967.63</v>
      </c>
      <c r="AU300">
        <v>0</v>
      </c>
      <c r="AV300">
        <v>0</v>
      </c>
      <c r="AW300">
        <v>0</v>
      </c>
      <c r="AX300">
        <v>3967.63</v>
      </c>
      <c r="AY300">
        <v>220.42388888888854</v>
      </c>
      <c r="AZ300">
        <v>0</v>
      </c>
      <c r="BC300">
        <v>-3747.2061111111116</v>
      </c>
      <c r="BE300" t="s">
        <v>114</v>
      </c>
      <c r="BH300">
        <v>-220.42388888888854</v>
      </c>
      <c r="BI300">
        <v>-18.36865740740738</v>
      </c>
      <c r="BK300" t="s">
        <v>116</v>
      </c>
      <c r="BL300">
        <v>0</v>
      </c>
      <c r="BM300">
        <v>-3967.63</v>
      </c>
      <c r="BR300">
        <v>0</v>
      </c>
      <c r="BS300">
        <v>0</v>
      </c>
      <c r="BW300" t="s">
        <v>167</v>
      </c>
      <c r="BX300" t="s">
        <v>168</v>
      </c>
      <c r="BZ300" t="s">
        <v>983</v>
      </c>
    </row>
    <row r="301" spans="1:83">
      <c r="A301">
        <v>1833</v>
      </c>
      <c r="B301">
        <v>29</v>
      </c>
      <c r="C301" t="s">
        <v>54</v>
      </c>
      <c r="D301" t="s">
        <v>1</v>
      </c>
      <c r="E301" t="s">
        <v>115</v>
      </c>
      <c r="F301" t="s">
        <v>99</v>
      </c>
      <c r="G301" t="s">
        <v>100</v>
      </c>
      <c r="H301" t="s">
        <v>128</v>
      </c>
      <c r="I301" t="s">
        <v>100</v>
      </c>
      <c r="J301" t="s">
        <v>101</v>
      </c>
      <c r="K301" t="s">
        <v>559</v>
      </c>
      <c r="L301" t="s">
        <v>559</v>
      </c>
      <c r="M301" t="s">
        <v>100</v>
      </c>
      <c r="N301" t="s">
        <v>1057</v>
      </c>
      <c r="O301" t="s">
        <v>100</v>
      </c>
      <c r="Q301" t="s">
        <v>1057</v>
      </c>
      <c r="R301" t="s">
        <v>119</v>
      </c>
      <c r="S301" t="s">
        <v>130</v>
      </c>
      <c r="T301" t="s">
        <v>120</v>
      </c>
      <c r="U301" t="s">
        <v>101</v>
      </c>
      <c r="V301" t="s">
        <v>121</v>
      </c>
      <c r="W301" t="s">
        <v>122</v>
      </c>
      <c r="X301" t="s">
        <v>123</v>
      </c>
      <c r="Y301">
        <v>1</v>
      </c>
      <c r="Z301" t="s">
        <v>1058</v>
      </c>
      <c r="AA301" s="280">
        <v>45217</v>
      </c>
      <c r="AB301" t="s">
        <v>114</v>
      </c>
      <c r="AC301" t="s">
        <v>124</v>
      </c>
      <c r="AD301" s="280">
        <v>45382</v>
      </c>
      <c r="AE301" t="s">
        <v>125</v>
      </c>
      <c r="AF301">
        <v>6</v>
      </c>
      <c r="AG301">
        <v>0</v>
      </c>
      <c r="AH301">
        <v>0</v>
      </c>
      <c r="AI301" t="s">
        <v>126</v>
      </c>
      <c r="AL301">
        <v>4.5479452054794525</v>
      </c>
      <c r="AM301">
        <v>0</v>
      </c>
      <c r="AN301">
        <v>4.5479452054794525</v>
      </c>
      <c r="AO301">
        <v>3.5479452054794525</v>
      </c>
      <c r="AP301" t="s">
        <v>1070</v>
      </c>
      <c r="AR301" t="s">
        <v>127</v>
      </c>
      <c r="AS301">
        <v>4765.0366359496902</v>
      </c>
      <c r="AX301">
        <v>4765.0366359496902</v>
      </c>
      <c r="AY301">
        <v>3611.8542537335552</v>
      </c>
      <c r="AZ301">
        <v>0</v>
      </c>
      <c r="BC301">
        <v>-1153.182382216135</v>
      </c>
      <c r="BE301" t="s">
        <v>114</v>
      </c>
      <c r="BH301">
        <v>-794.17277265828159</v>
      </c>
      <c r="BI301">
        <v>-66.181064388190137</v>
      </c>
      <c r="BK301" t="s">
        <v>116</v>
      </c>
      <c r="BL301">
        <v>0</v>
      </c>
      <c r="BM301">
        <v>-1947.3551548744167</v>
      </c>
      <c r="BR301">
        <v>0</v>
      </c>
      <c r="BS301">
        <v>2817.6814810752735</v>
      </c>
      <c r="BT301">
        <v>-1153.182382216135</v>
      </c>
      <c r="CE301">
        <v>0</v>
      </c>
    </row>
    <row r="302" spans="1:83">
      <c r="A302">
        <v>1896</v>
      </c>
      <c r="B302" t="s">
        <v>874</v>
      </c>
      <c r="C302" t="s">
        <v>54</v>
      </c>
      <c r="D302" t="s">
        <v>1</v>
      </c>
      <c r="E302" t="s">
        <v>115</v>
      </c>
      <c r="F302" t="s">
        <v>99</v>
      </c>
      <c r="G302" t="s">
        <v>100</v>
      </c>
      <c r="H302" t="s">
        <v>128</v>
      </c>
      <c r="I302" t="s">
        <v>100</v>
      </c>
      <c r="J302" t="s">
        <v>101</v>
      </c>
      <c r="K302" t="s">
        <v>559</v>
      </c>
      <c r="L302" t="s">
        <v>559</v>
      </c>
      <c r="M302" t="s">
        <v>100</v>
      </c>
      <c r="N302" t="s">
        <v>1056</v>
      </c>
      <c r="O302" t="s">
        <v>100</v>
      </c>
      <c r="Q302" t="s">
        <v>1056</v>
      </c>
      <c r="R302" t="s">
        <v>119</v>
      </c>
      <c r="S302" t="s">
        <v>130</v>
      </c>
      <c r="T302" t="s">
        <v>120</v>
      </c>
      <c r="U302" t="s">
        <v>101</v>
      </c>
      <c r="V302" t="s">
        <v>121</v>
      </c>
      <c r="W302" t="s">
        <v>122</v>
      </c>
      <c r="X302" t="s">
        <v>123</v>
      </c>
      <c r="Y302">
        <v>1</v>
      </c>
      <c r="Z302" t="s">
        <v>1058</v>
      </c>
      <c r="AA302" s="280">
        <v>45217</v>
      </c>
      <c r="AB302" t="s">
        <v>114</v>
      </c>
      <c r="AC302" t="s">
        <v>124</v>
      </c>
      <c r="AD302" s="280">
        <v>45382</v>
      </c>
      <c r="AE302" t="s">
        <v>125</v>
      </c>
      <c r="AF302">
        <v>6</v>
      </c>
      <c r="AG302">
        <v>0</v>
      </c>
      <c r="AH302">
        <v>0</v>
      </c>
      <c r="AI302" t="s">
        <v>126</v>
      </c>
      <c r="AL302">
        <v>4.5479452054794525</v>
      </c>
      <c r="AM302">
        <v>0</v>
      </c>
      <c r="AN302">
        <v>4.5479452054794525</v>
      </c>
      <c r="AO302">
        <v>3.5479452054794525</v>
      </c>
      <c r="AP302" t="s">
        <v>1069</v>
      </c>
      <c r="AR302" t="s">
        <v>127</v>
      </c>
      <c r="AS302">
        <v>8644.9987466476105</v>
      </c>
      <c r="AX302">
        <v>8644.9987466476105</v>
      </c>
      <c r="AY302">
        <v>6552.8301001986456</v>
      </c>
      <c r="AZ302">
        <v>0</v>
      </c>
      <c r="BC302">
        <v>-2092.1686464489649</v>
      </c>
      <c r="BE302" t="s">
        <v>114</v>
      </c>
      <c r="BH302">
        <v>-1440.8331244412684</v>
      </c>
      <c r="BI302">
        <v>-120.06942703677237</v>
      </c>
      <c r="BK302" t="s">
        <v>116</v>
      </c>
      <c r="BL302">
        <v>0</v>
      </c>
      <c r="BM302">
        <v>-3533.0017708902333</v>
      </c>
      <c r="BR302">
        <v>0</v>
      </c>
      <c r="BS302">
        <v>5111.9969757573772</v>
      </c>
      <c r="BT302">
        <v>-2092.1686464489649</v>
      </c>
      <c r="CE302">
        <v>0</v>
      </c>
    </row>
    <row r="303" spans="1:83">
      <c r="A303">
        <v>1820</v>
      </c>
      <c r="B303" t="s">
        <v>874</v>
      </c>
      <c r="C303" t="s">
        <v>54</v>
      </c>
      <c r="D303" t="s">
        <v>1</v>
      </c>
      <c r="E303" t="s">
        <v>115</v>
      </c>
      <c r="F303" t="s">
        <v>99</v>
      </c>
      <c r="G303" t="s">
        <v>100</v>
      </c>
      <c r="H303" t="s">
        <v>128</v>
      </c>
      <c r="I303" t="s">
        <v>100</v>
      </c>
      <c r="J303" t="s">
        <v>101</v>
      </c>
      <c r="K303" t="s">
        <v>559</v>
      </c>
      <c r="L303" t="s">
        <v>559</v>
      </c>
      <c r="M303" t="s">
        <v>100</v>
      </c>
      <c r="N303" t="s">
        <v>1056</v>
      </c>
      <c r="O303" t="s">
        <v>100</v>
      </c>
      <c r="Q303" t="s">
        <v>1056</v>
      </c>
      <c r="R303" t="s">
        <v>119</v>
      </c>
      <c r="S303" t="s">
        <v>130</v>
      </c>
      <c r="T303" t="s">
        <v>120</v>
      </c>
      <c r="U303" t="s">
        <v>101</v>
      </c>
      <c r="V303" t="s">
        <v>121</v>
      </c>
      <c r="W303" t="s">
        <v>122</v>
      </c>
      <c r="X303" t="s">
        <v>123</v>
      </c>
      <c r="Y303">
        <v>1</v>
      </c>
      <c r="Z303" t="s">
        <v>1058</v>
      </c>
      <c r="AA303" s="280">
        <v>45217</v>
      </c>
      <c r="AB303" t="s">
        <v>114</v>
      </c>
      <c r="AC303" t="s">
        <v>124</v>
      </c>
      <c r="AD303" s="280">
        <v>45382</v>
      </c>
      <c r="AE303" t="s">
        <v>125</v>
      </c>
      <c r="AF303">
        <v>6</v>
      </c>
      <c r="AG303">
        <v>0</v>
      </c>
      <c r="AH303">
        <v>0</v>
      </c>
      <c r="AI303" t="s">
        <v>126</v>
      </c>
      <c r="AL303">
        <v>4.5479452054794525</v>
      </c>
      <c r="AM303">
        <v>0</v>
      </c>
      <c r="AN303">
        <v>4.5479452054794525</v>
      </c>
      <c r="AO303">
        <v>3.5479452054794525</v>
      </c>
      <c r="AP303" t="s">
        <v>1068</v>
      </c>
      <c r="AR303" t="s">
        <v>127</v>
      </c>
      <c r="AS303">
        <v>8644.9987466476105</v>
      </c>
      <c r="AX303">
        <v>8644.9987466476105</v>
      </c>
      <c r="AY303">
        <v>6552.8301001986456</v>
      </c>
      <c r="AZ303">
        <v>0</v>
      </c>
      <c r="BC303">
        <v>-2092.1686464489649</v>
      </c>
      <c r="BE303" t="s">
        <v>114</v>
      </c>
      <c r="BH303">
        <v>-1440.8331244412684</v>
      </c>
      <c r="BI303">
        <v>-120.06942703677237</v>
      </c>
      <c r="BK303" t="s">
        <v>116</v>
      </c>
      <c r="BL303">
        <v>0</v>
      </c>
      <c r="BM303">
        <v>-3533.0017708902333</v>
      </c>
      <c r="BR303">
        <v>0</v>
      </c>
      <c r="BS303">
        <v>5111.9969757573772</v>
      </c>
      <c r="BT303">
        <v>-2092.1686464489649</v>
      </c>
      <c r="CE303">
        <v>0</v>
      </c>
    </row>
    <row r="304" spans="1:83">
      <c r="A304">
        <v>1835</v>
      </c>
      <c r="B304" t="s">
        <v>874</v>
      </c>
      <c r="C304" t="s">
        <v>54</v>
      </c>
      <c r="D304" t="s">
        <v>1</v>
      </c>
      <c r="E304" t="s">
        <v>115</v>
      </c>
      <c r="F304" t="s">
        <v>99</v>
      </c>
      <c r="G304" t="s">
        <v>100</v>
      </c>
      <c r="H304" t="s">
        <v>128</v>
      </c>
      <c r="I304" t="s">
        <v>100</v>
      </c>
      <c r="J304" t="s">
        <v>101</v>
      </c>
      <c r="K304" t="s">
        <v>559</v>
      </c>
      <c r="L304" t="s">
        <v>559</v>
      </c>
      <c r="M304" t="s">
        <v>100</v>
      </c>
      <c r="N304" t="s">
        <v>1056</v>
      </c>
      <c r="O304" t="s">
        <v>100</v>
      </c>
      <c r="Q304" t="s">
        <v>1056</v>
      </c>
      <c r="R304" t="s">
        <v>119</v>
      </c>
      <c r="S304" t="s">
        <v>130</v>
      </c>
      <c r="T304" t="s">
        <v>120</v>
      </c>
      <c r="U304" t="s">
        <v>101</v>
      </c>
      <c r="V304" t="s">
        <v>121</v>
      </c>
      <c r="W304" t="s">
        <v>122</v>
      </c>
      <c r="X304" t="s">
        <v>123</v>
      </c>
      <c r="Y304">
        <v>1</v>
      </c>
      <c r="Z304" t="s">
        <v>1058</v>
      </c>
      <c r="AA304" s="280">
        <v>45217</v>
      </c>
      <c r="AB304" t="s">
        <v>114</v>
      </c>
      <c r="AC304" t="s">
        <v>124</v>
      </c>
      <c r="AD304" s="280">
        <v>45382</v>
      </c>
      <c r="AE304" t="s">
        <v>125</v>
      </c>
      <c r="AF304">
        <v>6</v>
      </c>
      <c r="AG304">
        <v>0</v>
      </c>
      <c r="AH304">
        <v>0</v>
      </c>
      <c r="AI304" t="s">
        <v>126</v>
      </c>
      <c r="AL304">
        <v>4.5479452054794525</v>
      </c>
      <c r="AM304">
        <v>0</v>
      </c>
      <c r="AN304">
        <v>4.5479452054794525</v>
      </c>
      <c r="AO304">
        <v>3.5479452054794525</v>
      </c>
      <c r="AP304" t="s">
        <v>1067</v>
      </c>
      <c r="AR304" t="s">
        <v>127</v>
      </c>
      <c r="AS304">
        <v>8644.9987466476105</v>
      </c>
      <c r="AX304">
        <v>8644.9987466476105</v>
      </c>
      <c r="AY304">
        <v>6552.8301001986456</v>
      </c>
      <c r="AZ304">
        <v>0</v>
      </c>
      <c r="BC304">
        <v>-2092.1686464489649</v>
      </c>
      <c r="BE304" t="s">
        <v>114</v>
      </c>
      <c r="BH304">
        <v>-1440.8331244412684</v>
      </c>
      <c r="BI304">
        <v>-120.06942703677237</v>
      </c>
      <c r="BK304" t="s">
        <v>116</v>
      </c>
      <c r="BL304">
        <v>0</v>
      </c>
      <c r="BM304">
        <v>-3533.0017708902333</v>
      </c>
      <c r="BR304">
        <v>0</v>
      </c>
      <c r="BS304">
        <v>5111.9969757573772</v>
      </c>
      <c r="BT304">
        <v>-2092.1686464489649</v>
      </c>
      <c r="CE304">
        <v>0</v>
      </c>
    </row>
    <row r="305" spans="1:83">
      <c r="A305">
        <v>1898</v>
      </c>
      <c r="B305" t="s">
        <v>874</v>
      </c>
      <c r="C305" t="s">
        <v>54</v>
      </c>
      <c r="D305" t="s">
        <v>1</v>
      </c>
      <c r="E305" t="s">
        <v>115</v>
      </c>
      <c r="F305" t="s">
        <v>99</v>
      </c>
      <c r="G305" t="s">
        <v>100</v>
      </c>
      <c r="H305" t="s">
        <v>128</v>
      </c>
      <c r="I305" t="s">
        <v>100</v>
      </c>
      <c r="J305" t="s">
        <v>101</v>
      </c>
      <c r="K305" t="s">
        <v>559</v>
      </c>
      <c r="L305" t="s">
        <v>559</v>
      </c>
      <c r="M305" t="s">
        <v>100</v>
      </c>
      <c r="N305" t="s">
        <v>1056</v>
      </c>
      <c r="O305" t="s">
        <v>100</v>
      </c>
      <c r="Q305" t="s">
        <v>1056</v>
      </c>
      <c r="R305" t="s">
        <v>119</v>
      </c>
      <c r="S305" t="s">
        <v>130</v>
      </c>
      <c r="T305" t="s">
        <v>120</v>
      </c>
      <c r="U305" t="s">
        <v>101</v>
      </c>
      <c r="V305" t="s">
        <v>121</v>
      </c>
      <c r="W305" t="s">
        <v>122</v>
      </c>
      <c r="X305" t="s">
        <v>123</v>
      </c>
      <c r="Y305">
        <v>1</v>
      </c>
      <c r="Z305" t="s">
        <v>1058</v>
      </c>
      <c r="AA305" s="280">
        <v>45217</v>
      </c>
      <c r="AB305" t="s">
        <v>114</v>
      </c>
      <c r="AC305" t="s">
        <v>124</v>
      </c>
      <c r="AD305" s="280">
        <v>45382</v>
      </c>
      <c r="AE305" t="s">
        <v>125</v>
      </c>
      <c r="AF305">
        <v>6</v>
      </c>
      <c r="AG305">
        <v>0</v>
      </c>
      <c r="AH305">
        <v>0</v>
      </c>
      <c r="AI305" t="s">
        <v>126</v>
      </c>
      <c r="AL305">
        <v>4.5479452054794525</v>
      </c>
      <c r="AM305">
        <v>0</v>
      </c>
      <c r="AN305">
        <v>4.5479452054794525</v>
      </c>
      <c r="AO305">
        <v>3.5479452054794525</v>
      </c>
      <c r="AP305" t="s">
        <v>1066</v>
      </c>
      <c r="AR305" t="s">
        <v>127</v>
      </c>
      <c r="AS305">
        <v>8644.9987466476105</v>
      </c>
      <c r="AX305">
        <v>8644.9987466476105</v>
      </c>
      <c r="AY305">
        <v>6552.8301001986456</v>
      </c>
      <c r="AZ305">
        <v>0</v>
      </c>
      <c r="BC305">
        <v>-2092.1686464489649</v>
      </c>
      <c r="BE305" t="s">
        <v>114</v>
      </c>
      <c r="BH305">
        <v>-1440.8331244412684</v>
      </c>
      <c r="BI305">
        <v>-120.06942703677237</v>
      </c>
      <c r="BK305" t="s">
        <v>116</v>
      </c>
      <c r="BL305">
        <v>0</v>
      </c>
      <c r="BM305">
        <v>-3533.0017708902333</v>
      </c>
      <c r="BR305">
        <v>0</v>
      </c>
      <c r="BS305">
        <v>5111.9969757573772</v>
      </c>
      <c r="BT305">
        <v>-2092.1686464489649</v>
      </c>
      <c r="CE305">
        <v>0</v>
      </c>
    </row>
    <row r="306" spans="1:83">
      <c r="A306">
        <v>1846</v>
      </c>
      <c r="B306" t="s">
        <v>887</v>
      </c>
      <c r="C306" t="s">
        <v>54</v>
      </c>
      <c r="D306" t="s">
        <v>1</v>
      </c>
      <c r="E306" t="s">
        <v>115</v>
      </c>
      <c r="F306" t="s">
        <v>99</v>
      </c>
      <c r="G306" t="s">
        <v>100</v>
      </c>
      <c r="H306" t="s">
        <v>128</v>
      </c>
      <c r="I306" t="s">
        <v>100</v>
      </c>
      <c r="J306" t="s">
        <v>101</v>
      </c>
      <c r="K306" t="s">
        <v>559</v>
      </c>
      <c r="L306" t="s">
        <v>559</v>
      </c>
      <c r="M306" t="s">
        <v>100</v>
      </c>
      <c r="N306" t="s">
        <v>1056</v>
      </c>
      <c r="O306" t="s">
        <v>100</v>
      </c>
      <c r="Q306" t="s">
        <v>1056</v>
      </c>
      <c r="R306" t="s">
        <v>119</v>
      </c>
      <c r="S306" t="s">
        <v>130</v>
      </c>
      <c r="T306" t="s">
        <v>120</v>
      </c>
      <c r="U306" t="s">
        <v>101</v>
      </c>
      <c r="V306" t="s">
        <v>121</v>
      </c>
      <c r="W306" t="s">
        <v>122</v>
      </c>
      <c r="X306" t="s">
        <v>123</v>
      </c>
      <c r="Y306">
        <v>1</v>
      </c>
      <c r="Z306" t="s">
        <v>1058</v>
      </c>
      <c r="AA306" s="280">
        <v>45217</v>
      </c>
      <c r="AB306" t="s">
        <v>114</v>
      </c>
      <c r="AC306" t="s">
        <v>124</v>
      </c>
      <c r="AD306" s="280">
        <v>45382</v>
      </c>
      <c r="AE306" t="s">
        <v>125</v>
      </c>
      <c r="AF306">
        <v>6</v>
      </c>
      <c r="AG306">
        <v>0</v>
      </c>
      <c r="AH306">
        <v>0</v>
      </c>
      <c r="AI306" t="s">
        <v>126</v>
      </c>
      <c r="AL306">
        <v>4.5479452054794525</v>
      </c>
      <c r="AM306">
        <v>0</v>
      </c>
      <c r="AN306">
        <v>4.5479452054794525</v>
      </c>
      <c r="AO306">
        <v>3.5479452054794525</v>
      </c>
      <c r="AP306" t="s">
        <v>1065</v>
      </c>
      <c r="AR306" t="s">
        <v>127</v>
      </c>
      <c r="AS306">
        <v>8644.9987466476105</v>
      </c>
      <c r="AX306">
        <v>8644.9987466476105</v>
      </c>
      <c r="AY306">
        <v>6552.8301001986456</v>
      </c>
      <c r="AZ306">
        <v>0</v>
      </c>
      <c r="BC306">
        <v>-2092.1686464489649</v>
      </c>
      <c r="BE306" t="s">
        <v>114</v>
      </c>
      <c r="BH306">
        <v>-1440.8331244412684</v>
      </c>
      <c r="BI306">
        <v>-120.06942703677237</v>
      </c>
      <c r="BK306" t="s">
        <v>116</v>
      </c>
      <c r="BL306">
        <v>0</v>
      </c>
      <c r="BM306">
        <v>-3533.0017708902333</v>
      </c>
      <c r="BR306">
        <v>0</v>
      </c>
      <c r="BS306">
        <v>5111.9969757573772</v>
      </c>
      <c r="BT306">
        <v>-2092.1686464489649</v>
      </c>
      <c r="CE306">
        <v>0</v>
      </c>
    </row>
    <row r="307" spans="1:83">
      <c r="A307">
        <v>1839</v>
      </c>
      <c r="B307" t="s">
        <v>887</v>
      </c>
      <c r="C307" t="s">
        <v>54</v>
      </c>
      <c r="D307" t="s">
        <v>1</v>
      </c>
      <c r="E307" t="s">
        <v>115</v>
      </c>
      <c r="F307" t="s">
        <v>99</v>
      </c>
      <c r="G307" t="s">
        <v>100</v>
      </c>
      <c r="H307" t="s">
        <v>128</v>
      </c>
      <c r="I307" t="s">
        <v>100</v>
      </c>
      <c r="J307" t="s">
        <v>101</v>
      </c>
      <c r="K307" t="s">
        <v>559</v>
      </c>
      <c r="L307" t="s">
        <v>559</v>
      </c>
      <c r="M307" t="s">
        <v>100</v>
      </c>
      <c r="N307" t="s">
        <v>1056</v>
      </c>
      <c r="O307" t="s">
        <v>100</v>
      </c>
      <c r="Q307" t="s">
        <v>1056</v>
      </c>
      <c r="R307" t="s">
        <v>119</v>
      </c>
      <c r="S307" t="s">
        <v>130</v>
      </c>
      <c r="T307" t="s">
        <v>120</v>
      </c>
      <c r="U307" t="s">
        <v>101</v>
      </c>
      <c r="V307" t="s">
        <v>121</v>
      </c>
      <c r="W307" t="s">
        <v>122</v>
      </c>
      <c r="X307" t="s">
        <v>123</v>
      </c>
      <c r="Y307">
        <v>1</v>
      </c>
      <c r="Z307" t="s">
        <v>1058</v>
      </c>
      <c r="AA307" s="280">
        <v>45217</v>
      </c>
      <c r="AB307" t="s">
        <v>114</v>
      </c>
      <c r="AC307" t="s">
        <v>124</v>
      </c>
      <c r="AD307" s="280">
        <v>45382</v>
      </c>
      <c r="AE307" t="s">
        <v>125</v>
      </c>
      <c r="AF307">
        <v>6</v>
      </c>
      <c r="AG307">
        <v>0</v>
      </c>
      <c r="AH307">
        <v>0</v>
      </c>
      <c r="AI307" t="s">
        <v>126</v>
      </c>
      <c r="AL307">
        <v>4.5479452054794525</v>
      </c>
      <c r="AM307">
        <v>0</v>
      </c>
      <c r="AN307">
        <v>4.5479452054794525</v>
      </c>
      <c r="AO307">
        <v>3.5479452054794525</v>
      </c>
      <c r="AP307" t="s">
        <v>1064</v>
      </c>
      <c r="AR307" t="s">
        <v>127</v>
      </c>
      <c r="AS307">
        <v>8644.9987466476105</v>
      </c>
      <c r="AX307">
        <v>8644.9987466476105</v>
      </c>
      <c r="AY307">
        <v>6552.8301001986456</v>
      </c>
      <c r="AZ307">
        <v>0</v>
      </c>
      <c r="BC307">
        <v>-2092.1686464489649</v>
      </c>
      <c r="BE307" t="s">
        <v>114</v>
      </c>
      <c r="BH307">
        <v>-1440.8331244412684</v>
      </c>
      <c r="BI307">
        <v>-120.06942703677237</v>
      </c>
      <c r="BK307" t="s">
        <v>116</v>
      </c>
      <c r="BL307">
        <v>0</v>
      </c>
      <c r="BM307">
        <v>-3533.0017708902333</v>
      </c>
      <c r="BR307">
        <v>0</v>
      </c>
      <c r="BS307">
        <v>5111.9969757573772</v>
      </c>
      <c r="BT307">
        <v>-2092.1686464489649</v>
      </c>
      <c r="CE307">
        <v>0</v>
      </c>
    </row>
    <row r="308" spans="1:83">
      <c r="A308">
        <v>1842</v>
      </c>
      <c r="B308">
        <v>31</v>
      </c>
      <c r="C308" t="s">
        <v>54</v>
      </c>
      <c r="D308" t="s">
        <v>1</v>
      </c>
      <c r="E308" t="s">
        <v>115</v>
      </c>
      <c r="F308" t="s">
        <v>99</v>
      </c>
      <c r="G308" t="s">
        <v>100</v>
      </c>
      <c r="H308" t="s">
        <v>128</v>
      </c>
      <c r="I308" t="s">
        <v>100</v>
      </c>
      <c r="J308" t="s">
        <v>101</v>
      </c>
      <c r="K308" t="s">
        <v>559</v>
      </c>
      <c r="L308" t="s">
        <v>559</v>
      </c>
      <c r="M308" t="s">
        <v>100</v>
      </c>
      <c r="N308" t="s">
        <v>1055</v>
      </c>
      <c r="O308" t="s">
        <v>100</v>
      </c>
      <c r="Q308" t="s">
        <v>1055</v>
      </c>
      <c r="R308" t="s">
        <v>119</v>
      </c>
      <c r="S308" t="s">
        <v>130</v>
      </c>
      <c r="T308" t="s">
        <v>120</v>
      </c>
      <c r="U308" t="s">
        <v>101</v>
      </c>
      <c r="V308" t="s">
        <v>121</v>
      </c>
      <c r="W308" t="s">
        <v>122</v>
      </c>
      <c r="X308" t="s">
        <v>123</v>
      </c>
      <c r="Y308">
        <v>1</v>
      </c>
      <c r="Z308" t="s">
        <v>1058</v>
      </c>
      <c r="AA308" s="280">
        <v>45217</v>
      </c>
      <c r="AB308" t="s">
        <v>114</v>
      </c>
      <c r="AC308" t="s">
        <v>124</v>
      </c>
      <c r="AD308" s="280">
        <v>45382</v>
      </c>
      <c r="AE308" t="s">
        <v>125</v>
      </c>
      <c r="AF308">
        <v>6</v>
      </c>
      <c r="AG308">
        <v>0</v>
      </c>
      <c r="AH308">
        <v>0</v>
      </c>
      <c r="AI308" t="s">
        <v>126</v>
      </c>
      <c r="AL308">
        <v>4.5479452054794525</v>
      </c>
      <c r="AM308">
        <v>0</v>
      </c>
      <c r="AN308">
        <v>4.5479452054794525</v>
      </c>
      <c r="AO308">
        <v>3.5479452054794525</v>
      </c>
      <c r="AP308" t="s">
        <v>1063</v>
      </c>
      <c r="AR308" t="s">
        <v>127</v>
      </c>
      <c r="AS308">
        <v>5164.9951473607744</v>
      </c>
      <c r="AX308">
        <v>5164.9951473607744</v>
      </c>
      <c r="AY308">
        <v>3915.0191527940115</v>
      </c>
      <c r="AZ308">
        <v>0</v>
      </c>
      <c r="BC308">
        <v>-1249.9759945667627</v>
      </c>
      <c r="BE308" t="s">
        <v>114</v>
      </c>
      <c r="BH308">
        <v>-860.83252456012895</v>
      </c>
      <c r="BI308">
        <v>-71.736043713344074</v>
      </c>
      <c r="BK308" t="s">
        <v>116</v>
      </c>
      <c r="BL308">
        <v>0</v>
      </c>
      <c r="BM308">
        <v>-2110.8085191268915</v>
      </c>
      <c r="BR308">
        <v>0</v>
      </c>
      <c r="BS308">
        <v>3054.1866282338829</v>
      </c>
      <c r="BT308">
        <v>-1249.9759945667627</v>
      </c>
      <c r="CE308">
        <v>0</v>
      </c>
    </row>
    <row r="309" spans="1:83">
      <c r="A309">
        <v>1815</v>
      </c>
      <c r="B309" t="s">
        <v>887</v>
      </c>
      <c r="C309" t="s">
        <v>54</v>
      </c>
      <c r="D309" t="s">
        <v>1</v>
      </c>
      <c r="E309" t="s">
        <v>115</v>
      </c>
      <c r="F309" t="s">
        <v>99</v>
      </c>
      <c r="G309" t="s">
        <v>100</v>
      </c>
      <c r="H309" t="s">
        <v>128</v>
      </c>
      <c r="I309" t="s">
        <v>100</v>
      </c>
      <c r="J309" t="s">
        <v>101</v>
      </c>
      <c r="K309" t="s">
        <v>559</v>
      </c>
      <c r="L309" t="s">
        <v>559</v>
      </c>
      <c r="M309" t="s">
        <v>100</v>
      </c>
      <c r="N309" t="s">
        <v>1055</v>
      </c>
      <c r="O309" t="s">
        <v>100</v>
      </c>
      <c r="Q309" t="s">
        <v>1055</v>
      </c>
      <c r="R309" t="s">
        <v>119</v>
      </c>
      <c r="S309" t="s">
        <v>130</v>
      </c>
      <c r="T309" t="s">
        <v>120</v>
      </c>
      <c r="U309" t="s">
        <v>101</v>
      </c>
      <c r="V309" t="s">
        <v>121</v>
      </c>
      <c r="W309" t="s">
        <v>122</v>
      </c>
      <c r="X309" t="s">
        <v>123</v>
      </c>
      <c r="Y309">
        <v>1</v>
      </c>
      <c r="Z309" t="s">
        <v>1058</v>
      </c>
      <c r="AA309" s="280">
        <v>45217</v>
      </c>
      <c r="AB309" t="s">
        <v>114</v>
      </c>
      <c r="AC309" t="s">
        <v>124</v>
      </c>
      <c r="AD309" s="280">
        <v>45382</v>
      </c>
      <c r="AE309" t="s">
        <v>125</v>
      </c>
      <c r="AF309">
        <v>6</v>
      </c>
      <c r="AG309">
        <v>0</v>
      </c>
      <c r="AH309">
        <v>0</v>
      </c>
      <c r="AI309" t="s">
        <v>126</v>
      </c>
      <c r="AL309">
        <v>4.5479452054794525</v>
      </c>
      <c r="AM309">
        <v>0</v>
      </c>
      <c r="AN309">
        <v>4.5479452054794525</v>
      </c>
      <c r="AO309">
        <v>3.5479452054794525</v>
      </c>
      <c r="AP309" t="s">
        <v>1062</v>
      </c>
      <c r="AR309" t="s">
        <v>127</v>
      </c>
      <c r="AS309">
        <v>5164.9951473607744</v>
      </c>
      <c r="AX309">
        <v>5164.9951473607744</v>
      </c>
      <c r="AY309">
        <v>3915.0191527940115</v>
      </c>
      <c r="AZ309">
        <v>0</v>
      </c>
      <c r="BC309">
        <v>-1249.9759945667627</v>
      </c>
      <c r="BE309" t="s">
        <v>114</v>
      </c>
      <c r="BH309">
        <v>-860.83252456012895</v>
      </c>
      <c r="BI309">
        <v>-71.736043713344074</v>
      </c>
      <c r="BK309" t="s">
        <v>116</v>
      </c>
      <c r="BL309">
        <v>0</v>
      </c>
      <c r="BM309">
        <v>-2110.8085191268915</v>
      </c>
      <c r="BR309">
        <v>0</v>
      </c>
      <c r="BS309">
        <v>3054.1866282338829</v>
      </c>
      <c r="BT309">
        <v>-1249.9759945667627</v>
      </c>
      <c r="CE309">
        <v>0</v>
      </c>
    </row>
    <row r="310" spans="1:83">
      <c r="A310">
        <v>1805</v>
      </c>
      <c r="B310" t="s">
        <v>887</v>
      </c>
      <c r="C310" t="s">
        <v>54</v>
      </c>
      <c r="D310" t="s">
        <v>1</v>
      </c>
      <c r="E310" t="s">
        <v>115</v>
      </c>
      <c r="F310" t="s">
        <v>99</v>
      </c>
      <c r="G310" t="s">
        <v>100</v>
      </c>
      <c r="H310" t="s">
        <v>128</v>
      </c>
      <c r="I310" t="s">
        <v>100</v>
      </c>
      <c r="J310" t="s">
        <v>101</v>
      </c>
      <c r="K310" t="s">
        <v>559</v>
      </c>
      <c r="L310" t="s">
        <v>559</v>
      </c>
      <c r="M310" t="s">
        <v>100</v>
      </c>
      <c r="N310" t="s">
        <v>1055</v>
      </c>
      <c r="O310" t="s">
        <v>100</v>
      </c>
      <c r="Q310" t="s">
        <v>1055</v>
      </c>
      <c r="R310" t="s">
        <v>119</v>
      </c>
      <c r="S310" t="s">
        <v>130</v>
      </c>
      <c r="T310" t="s">
        <v>120</v>
      </c>
      <c r="U310" t="s">
        <v>101</v>
      </c>
      <c r="V310" t="s">
        <v>121</v>
      </c>
      <c r="W310" t="s">
        <v>122</v>
      </c>
      <c r="X310" t="s">
        <v>123</v>
      </c>
      <c r="Y310">
        <v>1</v>
      </c>
      <c r="Z310" t="s">
        <v>1058</v>
      </c>
      <c r="AA310" s="280">
        <v>45217</v>
      </c>
      <c r="AB310" t="s">
        <v>114</v>
      </c>
      <c r="AC310" t="s">
        <v>124</v>
      </c>
      <c r="AD310" s="280">
        <v>45382</v>
      </c>
      <c r="AE310" t="s">
        <v>125</v>
      </c>
      <c r="AF310">
        <v>6</v>
      </c>
      <c r="AG310">
        <v>0</v>
      </c>
      <c r="AH310">
        <v>0</v>
      </c>
      <c r="AI310" t="s">
        <v>126</v>
      </c>
      <c r="AL310">
        <v>4.5479452054794525</v>
      </c>
      <c r="AM310">
        <v>0</v>
      </c>
      <c r="AN310">
        <v>4.5479452054794525</v>
      </c>
      <c r="AO310">
        <v>3.5479452054794525</v>
      </c>
      <c r="AP310" t="s">
        <v>1061</v>
      </c>
      <c r="AR310" t="s">
        <v>127</v>
      </c>
      <c r="AS310">
        <v>5164.9951473607744</v>
      </c>
      <c r="AX310">
        <v>5164.9951473607744</v>
      </c>
      <c r="AY310">
        <v>3915.0191527940115</v>
      </c>
      <c r="AZ310">
        <v>0</v>
      </c>
      <c r="BC310">
        <v>-1249.9759945667627</v>
      </c>
      <c r="BE310" t="s">
        <v>114</v>
      </c>
      <c r="BH310">
        <v>-860.83252456012895</v>
      </c>
      <c r="BI310">
        <v>-71.736043713344074</v>
      </c>
      <c r="BK310" t="s">
        <v>116</v>
      </c>
      <c r="BL310">
        <v>0</v>
      </c>
      <c r="BM310">
        <v>-2110.8085191268915</v>
      </c>
      <c r="BR310">
        <v>0</v>
      </c>
      <c r="BS310">
        <v>3054.1866282338829</v>
      </c>
      <c r="BT310">
        <v>-1249.9759945667627</v>
      </c>
      <c r="CE310">
        <v>0</v>
      </c>
    </row>
    <row r="311" spans="1:83">
      <c r="A311">
        <v>1871</v>
      </c>
      <c r="B311" t="s">
        <v>887</v>
      </c>
      <c r="C311" t="s">
        <v>54</v>
      </c>
      <c r="D311" t="s">
        <v>1</v>
      </c>
      <c r="E311" t="s">
        <v>115</v>
      </c>
      <c r="F311" t="s">
        <v>99</v>
      </c>
      <c r="G311" t="s">
        <v>100</v>
      </c>
      <c r="H311" t="s">
        <v>128</v>
      </c>
      <c r="I311" t="s">
        <v>100</v>
      </c>
      <c r="J311" t="s">
        <v>101</v>
      </c>
      <c r="K311" t="s">
        <v>559</v>
      </c>
      <c r="L311" t="s">
        <v>559</v>
      </c>
      <c r="M311" t="s">
        <v>100</v>
      </c>
      <c r="N311" t="s">
        <v>1055</v>
      </c>
      <c r="O311" t="s">
        <v>100</v>
      </c>
      <c r="Q311" t="s">
        <v>1055</v>
      </c>
      <c r="R311" t="s">
        <v>119</v>
      </c>
      <c r="S311" t="s">
        <v>130</v>
      </c>
      <c r="T311" t="s">
        <v>120</v>
      </c>
      <c r="U311" t="s">
        <v>101</v>
      </c>
      <c r="V311" t="s">
        <v>121</v>
      </c>
      <c r="W311" t="s">
        <v>122</v>
      </c>
      <c r="X311" t="s">
        <v>123</v>
      </c>
      <c r="Y311">
        <v>1</v>
      </c>
      <c r="Z311" t="s">
        <v>1058</v>
      </c>
      <c r="AA311" s="280">
        <v>45217</v>
      </c>
      <c r="AB311" t="s">
        <v>114</v>
      </c>
      <c r="AC311" t="s">
        <v>124</v>
      </c>
      <c r="AD311" s="280">
        <v>45382</v>
      </c>
      <c r="AE311" t="s">
        <v>125</v>
      </c>
      <c r="AF311">
        <v>6</v>
      </c>
      <c r="AG311">
        <v>0</v>
      </c>
      <c r="AH311">
        <v>0</v>
      </c>
      <c r="AI311" t="s">
        <v>126</v>
      </c>
      <c r="AL311">
        <v>4.5479452054794525</v>
      </c>
      <c r="AM311">
        <v>0</v>
      </c>
      <c r="AN311">
        <v>4.5479452054794525</v>
      </c>
      <c r="AO311">
        <v>3.5479452054794525</v>
      </c>
      <c r="AP311" t="s">
        <v>1060</v>
      </c>
      <c r="AR311" t="s">
        <v>127</v>
      </c>
      <c r="AS311">
        <v>5164.9951473607744</v>
      </c>
      <c r="AX311">
        <v>5164.9951473607744</v>
      </c>
      <c r="AY311">
        <v>3915.0191527940115</v>
      </c>
      <c r="AZ311">
        <v>0</v>
      </c>
      <c r="BC311">
        <v>-1249.9759945667627</v>
      </c>
      <c r="BE311" t="s">
        <v>114</v>
      </c>
      <c r="BH311">
        <v>-860.83252456012895</v>
      </c>
      <c r="BI311">
        <v>-71.736043713344074</v>
      </c>
      <c r="BK311" t="s">
        <v>116</v>
      </c>
      <c r="BL311">
        <v>0</v>
      </c>
      <c r="BM311">
        <v>-2110.8085191268915</v>
      </c>
      <c r="BR311">
        <v>0</v>
      </c>
      <c r="BS311">
        <v>3054.1866282338829</v>
      </c>
      <c r="BT311">
        <v>-1249.9759945667627</v>
      </c>
      <c r="CE311">
        <v>0</v>
      </c>
    </row>
    <row r="312" spans="1:83">
      <c r="A312">
        <v>1888</v>
      </c>
      <c r="B312" t="s">
        <v>887</v>
      </c>
      <c r="C312" t="s">
        <v>54</v>
      </c>
      <c r="D312" t="s">
        <v>1</v>
      </c>
      <c r="E312" t="s">
        <v>115</v>
      </c>
      <c r="F312" t="s">
        <v>99</v>
      </c>
      <c r="G312" t="s">
        <v>100</v>
      </c>
      <c r="H312" t="s">
        <v>128</v>
      </c>
      <c r="I312" t="s">
        <v>100</v>
      </c>
      <c r="J312" t="s">
        <v>101</v>
      </c>
      <c r="K312" t="s">
        <v>559</v>
      </c>
      <c r="L312" t="s">
        <v>559</v>
      </c>
      <c r="M312" t="s">
        <v>100</v>
      </c>
      <c r="N312" t="s">
        <v>1055</v>
      </c>
      <c r="O312" t="s">
        <v>100</v>
      </c>
      <c r="Q312" t="s">
        <v>1055</v>
      </c>
      <c r="R312" t="s">
        <v>119</v>
      </c>
      <c r="S312" t="s">
        <v>130</v>
      </c>
      <c r="T312" t="s">
        <v>120</v>
      </c>
      <c r="U312" t="s">
        <v>101</v>
      </c>
      <c r="V312" t="s">
        <v>121</v>
      </c>
      <c r="W312" t="s">
        <v>122</v>
      </c>
      <c r="X312" t="s">
        <v>123</v>
      </c>
      <c r="Y312">
        <v>1</v>
      </c>
      <c r="Z312" t="s">
        <v>1058</v>
      </c>
      <c r="AA312" s="280">
        <v>45217</v>
      </c>
      <c r="AB312" t="s">
        <v>114</v>
      </c>
      <c r="AC312" t="s">
        <v>124</v>
      </c>
      <c r="AD312" s="280">
        <v>45382</v>
      </c>
      <c r="AE312" t="s">
        <v>125</v>
      </c>
      <c r="AF312">
        <v>6</v>
      </c>
      <c r="AG312">
        <v>0</v>
      </c>
      <c r="AH312">
        <v>0</v>
      </c>
      <c r="AI312" t="s">
        <v>126</v>
      </c>
      <c r="AL312">
        <v>4.5479452054794525</v>
      </c>
      <c r="AM312">
        <v>0</v>
      </c>
      <c r="AN312">
        <v>4.5479452054794525</v>
      </c>
      <c r="AO312">
        <v>3.5479452054794525</v>
      </c>
      <c r="AP312" t="s">
        <v>1059</v>
      </c>
      <c r="AR312" t="s">
        <v>127</v>
      </c>
      <c r="AS312">
        <v>5164.9951473607744</v>
      </c>
      <c r="AX312">
        <v>5164.9951473607744</v>
      </c>
      <c r="AY312">
        <v>3915.0191527940115</v>
      </c>
      <c r="AZ312">
        <v>0</v>
      </c>
      <c r="BC312">
        <v>-1249.9759945667627</v>
      </c>
      <c r="BE312" t="s">
        <v>114</v>
      </c>
      <c r="BH312">
        <v>-860.83252456012895</v>
      </c>
      <c r="BI312">
        <v>-71.736043713344074</v>
      </c>
      <c r="BK312" t="s">
        <v>116</v>
      </c>
      <c r="BL312">
        <v>0</v>
      </c>
      <c r="BM312">
        <v>-2110.8085191268915</v>
      </c>
      <c r="BR312">
        <v>0</v>
      </c>
      <c r="BS312">
        <v>3054.1866282338829</v>
      </c>
      <c r="BT312">
        <v>-1249.9759945667627</v>
      </c>
      <c r="CE312">
        <v>0</v>
      </c>
    </row>
    <row r="313" spans="1:83">
      <c r="A313">
        <v>1890</v>
      </c>
      <c r="B313" t="s">
        <v>887</v>
      </c>
      <c r="C313" t="s">
        <v>54</v>
      </c>
      <c r="D313" t="s">
        <v>1</v>
      </c>
      <c r="E313" t="s">
        <v>115</v>
      </c>
      <c r="F313" t="s">
        <v>99</v>
      </c>
      <c r="G313" t="s">
        <v>100</v>
      </c>
      <c r="H313" t="s">
        <v>128</v>
      </c>
      <c r="I313" t="s">
        <v>100</v>
      </c>
      <c r="J313" t="s">
        <v>101</v>
      </c>
      <c r="K313" t="s">
        <v>559</v>
      </c>
      <c r="L313" t="s">
        <v>559</v>
      </c>
      <c r="M313" t="s">
        <v>100</v>
      </c>
      <c r="N313" t="s">
        <v>1055</v>
      </c>
      <c r="O313" t="s">
        <v>100</v>
      </c>
      <c r="Q313" t="s">
        <v>1055</v>
      </c>
      <c r="R313" t="s">
        <v>119</v>
      </c>
      <c r="S313" t="s">
        <v>130</v>
      </c>
      <c r="T313" t="s">
        <v>120</v>
      </c>
      <c r="U313" t="s">
        <v>101</v>
      </c>
      <c r="V313" t="s">
        <v>121</v>
      </c>
      <c r="W313" t="s">
        <v>122</v>
      </c>
      <c r="X313" t="s">
        <v>123</v>
      </c>
      <c r="Y313">
        <v>1</v>
      </c>
      <c r="Z313" t="s">
        <v>1058</v>
      </c>
      <c r="AA313" s="280">
        <v>45217</v>
      </c>
      <c r="AB313" t="s">
        <v>114</v>
      </c>
      <c r="AC313" t="s">
        <v>124</v>
      </c>
      <c r="AD313" s="280">
        <v>45382</v>
      </c>
      <c r="AE313" t="s">
        <v>125</v>
      </c>
      <c r="AF313">
        <v>6</v>
      </c>
      <c r="AG313">
        <v>0</v>
      </c>
      <c r="AH313">
        <v>0</v>
      </c>
      <c r="AI313" t="s">
        <v>126</v>
      </c>
      <c r="AL313">
        <v>4.5479452054794525</v>
      </c>
      <c r="AM313">
        <v>0</v>
      </c>
      <c r="AN313">
        <v>4.5479452054794525</v>
      </c>
      <c r="AO313">
        <v>3.5479452054794525</v>
      </c>
      <c r="AP313" t="s">
        <v>1054</v>
      </c>
      <c r="AR313" t="s">
        <v>127</v>
      </c>
      <c r="AS313">
        <v>5164.9951473607744</v>
      </c>
      <c r="AX313">
        <v>5164.9951473607744</v>
      </c>
      <c r="AY313">
        <v>3915.0191527940115</v>
      </c>
      <c r="AZ313">
        <v>0</v>
      </c>
      <c r="BC313">
        <v>-1249.9759945667627</v>
      </c>
      <c r="BE313" t="s">
        <v>114</v>
      </c>
      <c r="BH313">
        <v>-860.83252456012895</v>
      </c>
      <c r="BI313">
        <v>-71.736043713344074</v>
      </c>
      <c r="BK313" t="s">
        <v>116</v>
      </c>
      <c r="BL313">
        <v>0</v>
      </c>
      <c r="BM313">
        <v>-2110.8085191268915</v>
      </c>
      <c r="BR313">
        <v>0</v>
      </c>
      <c r="BS313">
        <v>3054.1866282338829</v>
      </c>
      <c r="BT313">
        <v>-1249.9759945667627</v>
      </c>
      <c r="CE313">
        <v>0</v>
      </c>
    </row>
    <row r="314" spans="1:83">
      <c r="A314">
        <v>1636</v>
      </c>
      <c r="B314" t="s">
        <v>867</v>
      </c>
      <c r="C314" t="s">
        <v>54</v>
      </c>
      <c r="D314" t="s">
        <v>1</v>
      </c>
      <c r="E314" t="s">
        <v>115</v>
      </c>
      <c r="F314" t="s">
        <v>99</v>
      </c>
      <c r="G314" t="s">
        <v>100</v>
      </c>
      <c r="H314" t="s">
        <v>128</v>
      </c>
      <c r="I314" t="s">
        <v>100</v>
      </c>
      <c r="J314" t="s">
        <v>101</v>
      </c>
      <c r="K314" t="s">
        <v>559</v>
      </c>
      <c r="L314" t="s">
        <v>559</v>
      </c>
      <c r="M314" t="s">
        <v>100</v>
      </c>
      <c r="N314" t="s">
        <v>555</v>
      </c>
      <c r="O314" t="s">
        <v>100</v>
      </c>
      <c r="Q314" t="s">
        <v>555</v>
      </c>
      <c r="R314" t="s">
        <v>119</v>
      </c>
      <c r="S314" t="s">
        <v>130</v>
      </c>
      <c r="T314" t="s">
        <v>120</v>
      </c>
      <c r="U314" t="s">
        <v>101</v>
      </c>
      <c r="V314" t="s">
        <v>121</v>
      </c>
      <c r="W314" t="s">
        <v>122</v>
      </c>
      <c r="X314" t="s">
        <v>123</v>
      </c>
      <c r="Y314">
        <v>1</v>
      </c>
      <c r="Z314" t="s">
        <v>598</v>
      </c>
      <c r="AA314" s="280">
        <v>44865</v>
      </c>
      <c r="AB314" t="s">
        <v>114</v>
      </c>
      <c r="AC314" t="s">
        <v>124</v>
      </c>
      <c r="AD314" s="280">
        <v>45016</v>
      </c>
      <c r="AE314" t="s">
        <v>125</v>
      </c>
      <c r="AF314">
        <v>6</v>
      </c>
      <c r="AG314">
        <v>0</v>
      </c>
      <c r="AH314">
        <v>0</v>
      </c>
      <c r="AI314" t="s">
        <v>126</v>
      </c>
      <c r="AL314">
        <v>3.5863013698630137</v>
      </c>
      <c r="AM314">
        <v>0</v>
      </c>
      <c r="AN314">
        <v>3.5863013698630137</v>
      </c>
      <c r="AO314">
        <v>2.5863013698630137</v>
      </c>
      <c r="AP314" t="s">
        <v>1050</v>
      </c>
      <c r="AR314" t="s">
        <v>127</v>
      </c>
      <c r="AS314">
        <v>3749</v>
      </c>
      <c r="AX314">
        <v>3749</v>
      </c>
      <c r="AY314">
        <v>2240.8406392694064</v>
      </c>
      <c r="AZ314">
        <v>0</v>
      </c>
      <c r="BC314">
        <v>-1508.1593607305936</v>
      </c>
      <c r="BE314" t="s">
        <v>114</v>
      </c>
      <c r="BH314">
        <v>-624.83333333333337</v>
      </c>
      <c r="BI314">
        <v>-52.06944444444445</v>
      </c>
      <c r="BK314" t="s">
        <v>116</v>
      </c>
      <c r="BL314">
        <v>0</v>
      </c>
      <c r="BM314">
        <v>-2132.992694063927</v>
      </c>
      <c r="BR314">
        <v>0</v>
      </c>
      <c r="BS314">
        <v>1616.007305936073</v>
      </c>
      <c r="BT314">
        <v>-1508.1593607305936</v>
      </c>
      <c r="BZ314" t="s">
        <v>1026</v>
      </c>
      <c r="CE314">
        <v>0</v>
      </c>
    </row>
    <row r="315" spans="1:83">
      <c r="A315">
        <v>1635</v>
      </c>
      <c r="B315" t="s">
        <v>872</v>
      </c>
      <c r="C315" t="s">
        <v>54</v>
      </c>
      <c r="D315" t="s">
        <v>1</v>
      </c>
      <c r="E315" t="s">
        <v>115</v>
      </c>
      <c r="F315" t="s">
        <v>99</v>
      </c>
      <c r="G315" t="s">
        <v>100</v>
      </c>
      <c r="H315" t="s">
        <v>128</v>
      </c>
      <c r="I315" t="s">
        <v>100</v>
      </c>
      <c r="J315" t="s">
        <v>101</v>
      </c>
      <c r="K315" t="s">
        <v>559</v>
      </c>
      <c r="L315" t="s">
        <v>559</v>
      </c>
      <c r="M315" t="s">
        <v>100</v>
      </c>
      <c r="N315" t="s">
        <v>555</v>
      </c>
      <c r="O315" t="s">
        <v>100</v>
      </c>
      <c r="Q315" t="s">
        <v>555</v>
      </c>
      <c r="R315" t="s">
        <v>119</v>
      </c>
      <c r="S315" t="s">
        <v>130</v>
      </c>
      <c r="T315" t="s">
        <v>120</v>
      </c>
      <c r="U315" t="s">
        <v>101</v>
      </c>
      <c r="V315" t="s">
        <v>121</v>
      </c>
      <c r="W315" t="s">
        <v>122</v>
      </c>
      <c r="X315" t="s">
        <v>123</v>
      </c>
      <c r="Y315">
        <v>1</v>
      </c>
      <c r="Z315" t="s">
        <v>598</v>
      </c>
      <c r="AA315" s="280">
        <v>44865</v>
      </c>
      <c r="AB315" t="s">
        <v>114</v>
      </c>
      <c r="AC315" t="s">
        <v>124</v>
      </c>
      <c r="AD315" s="280">
        <v>45016</v>
      </c>
      <c r="AE315" t="s">
        <v>125</v>
      </c>
      <c r="AF315">
        <v>6</v>
      </c>
      <c r="AG315">
        <v>0</v>
      </c>
      <c r="AH315">
        <v>0</v>
      </c>
      <c r="AI315" t="s">
        <v>126</v>
      </c>
      <c r="AL315">
        <v>3.5863013698630137</v>
      </c>
      <c r="AM315">
        <v>0</v>
      </c>
      <c r="AN315">
        <v>3.5863013698630137</v>
      </c>
      <c r="AO315">
        <v>2.5863013698630137</v>
      </c>
      <c r="AP315" t="s">
        <v>1050</v>
      </c>
      <c r="AR315" t="s">
        <v>127</v>
      </c>
      <c r="AS315">
        <v>3749</v>
      </c>
      <c r="AX315">
        <v>3749</v>
      </c>
      <c r="AY315">
        <v>2240.8406392694064</v>
      </c>
      <c r="AZ315">
        <v>0</v>
      </c>
      <c r="BC315">
        <v>-1508.1593607305936</v>
      </c>
      <c r="BE315" t="s">
        <v>114</v>
      </c>
      <c r="BH315">
        <v>-624.83333333333337</v>
      </c>
      <c r="BI315">
        <v>-52.06944444444445</v>
      </c>
      <c r="BK315" t="s">
        <v>116</v>
      </c>
      <c r="BL315">
        <v>0</v>
      </c>
      <c r="BM315">
        <v>-2132.992694063927</v>
      </c>
      <c r="BR315">
        <v>0</v>
      </c>
      <c r="BS315">
        <v>1616.007305936073</v>
      </c>
      <c r="BT315">
        <v>-1508.1593607305936</v>
      </c>
      <c r="BZ315" t="s">
        <v>1036</v>
      </c>
      <c r="CE315">
        <v>0</v>
      </c>
    </row>
    <row r="316" spans="1:83">
      <c r="A316">
        <v>1633</v>
      </c>
      <c r="B316" t="s">
        <v>867</v>
      </c>
      <c r="C316" t="s">
        <v>54</v>
      </c>
      <c r="D316" t="s">
        <v>1</v>
      </c>
      <c r="E316" t="s">
        <v>115</v>
      </c>
      <c r="F316" t="s">
        <v>99</v>
      </c>
      <c r="G316" t="s">
        <v>100</v>
      </c>
      <c r="H316" t="s">
        <v>128</v>
      </c>
      <c r="I316" t="s">
        <v>100</v>
      </c>
      <c r="J316" t="s">
        <v>101</v>
      </c>
      <c r="K316" t="s">
        <v>559</v>
      </c>
      <c r="L316" t="s">
        <v>559</v>
      </c>
      <c r="M316" t="s">
        <v>100</v>
      </c>
      <c r="N316" t="s">
        <v>555</v>
      </c>
      <c r="O316" t="s">
        <v>100</v>
      </c>
      <c r="Q316" t="s">
        <v>555</v>
      </c>
      <c r="R316" t="s">
        <v>119</v>
      </c>
      <c r="S316" t="s">
        <v>130</v>
      </c>
      <c r="T316" t="s">
        <v>120</v>
      </c>
      <c r="U316" t="s">
        <v>101</v>
      </c>
      <c r="V316" t="s">
        <v>121</v>
      </c>
      <c r="W316" t="s">
        <v>122</v>
      </c>
      <c r="X316" t="s">
        <v>123</v>
      </c>
      <c r="Y316">
        <v>1</v>
      </c>
      <c r="Z316" t="s">
        <v>598</v>
      </c>
      <c r="AA316" s="280">
        <v>44865</v>
      </c>
      <c r="AB316" t="s">
        <v>114</v>
      </c>
      <c r="AC316" t="s">
        <v>124</v>
      </c>
      <c r="AD316" s="280">
        <v>45016</v>
      </c>
      <c r="AE316" t="s">
        <v>125</v>
      </c>
      <c r="AF316">
        <v>6</v>
      </c>
      <c r="AG316">
        <v>0</v>
      </c>
      <c r="AH316">
        <v>0</v>
      </c>
      <c r="AI316" t="s">
        <v>126</v>
      </c>
      <c r="AL316">
        <v>3.5863013698630137</v>
      </c>
      <c r="AM316">
        <v>0</v>
      </c>
      <c r="AN316">
        <v>3.5863013698630137</v>
      </c>
      <c r="AO316">
        <v>2.5863013698630137</v>
      </c>
      <c r="AP316" t="s">
        <v>1050</v>
      </c>
      <c r="AR316" t="s">
        <v>127</v>
      </c>
      <c r="AS316">
        <v>3749</v>
      </c>
      <c r="AX316">
        <v>3749</v>
      </c>
      <c r="AY316">
        <v>2240.8406392694064</v>
      </c>
      <c r="AZ316">
        <v>0</v>
      </c>
      <c r="BC316">
        <v>-1508.1593607305936</v>
      </c>
      <c r="BE316" t="s">
        <v>114</v>
      </c>
      <c r="BH316">
        <v>-624.83333333333337</v>
      </c>
      <c r="BI316">
        <v>-52.06944444444445</v>
      </c>
      <c r="BK316" t="s">
        <v>116</v>
      </c>
      <c r="BL316">
        <v>0</v>
      </c>
      <c r="BM316">
        <v>-2132.992694063927</v>
      </c>
      <c r="BR316">
        <v>0</v>
      </c>
      <c r="BS316">
        <v>1616.007305936073</v>
      </c>
      <c r="BT316">
        <v>-1508.1593607305936</v>
      </c>
      <c r="BZ316" t="s">
        <v>1039</v>
      </c>
      <c r="CE316">
        <v>0</v>
      </c>
    </row>
    <row r="317" spans="1:83">
      <c r="A317">
        <v>1632</v>
      </c>
      <c r="B317" t="s">
        <v>867</v>
      </c>
      <c r="C317" t="s">
        <v>54</v>
      </c>
      <c r="D317" t="s">
        <v>1</v>
      </c>
      <c r="E317" t="s">
        <v>115</v>
      </c>
      <c r="F317" t="s">
        <v>99</v>
      </c>
      <c r="G317" t="s">
        <v>100</v>
      </c>
      <c r="H317" t="s">
        <v>128</v>
      </c>
      <c r="I317" t="s">
        <v>100</v>
      </c>
      <c r="J317" t="s">
        <v>101</v>
      </c>
      <c r="K317" t="s">
        <v>559</v>
      </c>
      <c r="L317" t="s">
        <v>559</v>
      </c>
      <c r="M317" t="s">
        <v>100</v>
      </c>
      <c r="N317" t="s">
        <v>555</v>
      </c>
      <c r="O317" t="s">
        <v>100</v>
      </c>
      <c r="Q317" t="s">
        <v>555</v>
      </c>
      <c r="R317" t="s">
        <v>119</v>
      </c>
      <c r="S317" t="s">
        <v>130</v>
      </c>
      <c r="T317" t="s">
        <v>120</v>
      </c>
      <c r="U317" t="s">
        <v>101</v>
      </c>
      <c r="V317" t="s">
        <v>121</v>
      </c>
      <c r="W317" t="s">
        <v>122</v>
      </c>
      <c r="X317" t="s">
        <v>123</v>
      </c>
      <c r="Y317">
        <v>1</v>
      </c>
      <c r="Z317" t="s">
        <v>598</v>
      </c>
      <c r="AA317" s="280">
        <v>44865</v>
      </c>
      <c r="AB317" t="s">
        <v>114</v>
      </c>
      <c r="AC317" t="s">
        <v>124</v>
      </c>
      <c r="AD317" s="280">
        <v>45016</v>
      </c>
      <c r="AE317" t="s">
        <v>125</v>
      </c>
      <c r="AF317">
        <v>6</v>
      </c>
      <c r="AG317">
        <v>0</v>
      </c>
      <c r="AH317">
        <v>0</v>
      </c>
      <c r="AI317" t="s">
        <v>126</v>
      </c>
      <c r="AL317">
        <v>3.5863013698630137</v>
      </c>
      <c r="AM317">
        <v>0</v>
      </c>
      <c r="AN317">
        <v>3.5863013698630137</v>
      </c>
      <c r="AO317">
        <v>2.5863013698630137</v>
      </c>
      <c r="AP317" t="s">
        <v>1050</v>
      </c>
      <c r="AR317" t="s">
        <v>127</v>
      </c>
      <c r="AS317">
        <v>3749</v>
      </c>
      <c r="AX317">
        <v>3749</v>
      </c>
      <c r="AY317">
        <v>2240.8406392694064</v>
      </c>
      <c r="AZ317">
        <v>0</v>
      </c>
      <c r="BC317">
        <v>-1508.1593607305936</v>
      </c>
      <c r="BE317" t="s">
        <v>114</v>
      </c>
      <c r="BH317">
        <v>-624.83333333333337</v>
      </c>
      <c r="BI317">
        <v>-52.06944444444445</v>
      </c>
      <c r="BK317" t="s">
        <v>116</v>
      </c>
      <c r="BL317">
        <v>0</v>
      </c>
      <c r="BM317">
        <v>-2132.992694063927</v>
      </c>
      <c r="BR317">
        <v>0</v>
      </c>
      <c r="BS317">
        <v>1616.007305936073</v>
      </c>
      <c r="BT317">
        <v>-1508.1593607305936</v>
      </c>
      <c r="BZ317" t="s">
        <v>1005</v>
      </c>
      <c r="CE317">
        <v>0</v>
      </c>
    </row>
    <row r="318" spans="1:83">
      <c r="A318">
        <v>1631</v>
      </c>
      <c r="B318" t="s">
        <v>877</v>
      </c>
      <c r="C318" t="s">
        <v>54</v>
      </c>
      <c r="D318" t="s">
        <v>1</v>
      </c>
      <c r="E318" t="s">
        <v>115</v>
      </c>
      <c r="F318" t="s">
        <v>99</v>
      </c>
      <c r="G318" t="s">
        <v>100</v>
      </c>
      <c r="H318" t="s">
        <v>128</v>
      </c>
      <c r="I318" t="s">
        <v>100</v>
      </c>
      <c r="J318" t="s">
        <v>101</v>
      </c>
      <c r="K318" t="s">
        <v>559</v>
      </c>
      <c r="L318" t="s">
        <v>559</v>
      </c>
      <c r="M318" t="s">
        <v>100</v>
      </c>
      <c r="N318" t="s">
        <v>555</v>
      </c>
      <c r="O318" t="s">
        <v>100</v>
      </c>
      <c r="Q318" t="s">
        <v>555</v>
      </c>
      <c r="R318" t="s">
        <v>119</v>
      </c>
      <c r="S318" t="s">
        <v>130</v>
      </c>
      <c r="T318" t="s">
        <v>120</v>
      </c>
      <c r="U318" t="s">
        <v>101</v>
      </c>
      <c r="V318" t="s">
        <v>121</v>
      </c>
      <c r="W318" t="s">
        <v>122</v>
      </c>
      <c r="X318" t="s">
        <v>123</v>
      </c>
      <c r="Y318">
        <v>1</v>
      </c>
      <c r="Z318" t="s">
        <v>598</v>
      </c>
      <c r="AA318" s="280">
        <v>44865</v>
      </c>
      <c r="AB318" t="s">
        <v>114</v>
      </c>
      <c r="AC318" t="s">
        <v>124</v>
      </c>
      <c r="AD318" s="280">
        <v>45016</v>
      </c>
      <c r="AE318" t="s">
        <v>125</v>
      </c>
      <c r="AF318">
        <v>6</v>
      </c>
      <c r="AG318">
        <v>0</v>
      </c>
      <c r="AH318">
        <v>0</v>
      </c>
      <c r="AI318" t="s">
        <v>126</v>
      </c>
      <c r="AL318">
        <v>3.5863013698630137</v>
      </c>
      <c r="AM318">
        <v>0</v>
      </c>
      <c r="AN318">
        <v>3.5863013698630137</v>
      </c>
      <c r="AO318">
        <v>2.5863013698630137</v>
      </c>
      <c r="AP318" t="s">
        <v>1050</v>
      </c>
      <c r="AR318" t="s">
        <v>127</v>
      </c>
      <c r="AS318">
        <v>3749</v>
      </c>
      <c r="AX318">
        <v>3749</v>
      </c>
      <c r="AY318">
        <v>2240.8406392694064</v>
      </c>
      <c r="AZ318">
        <v>0</v>
      </c>
      <c r="BC318">
        <v>-1508.1593607305936</v>
      </c>
      <c r="BE318" t="s">
        <v>114</v>
      </c>
      <c r="BH318">
        <v>-624.83333333333337</v>
      </c>
      <c r="BI318">
        <v>-52.06944444444445</v>
      </c>
      <c r="BK318" t="s">
        <v>116</v>
      </c>
      <c r="BL318">
        <v>0</v>
      </c>
      <c r="BM318">
        <v>-2132.992694063927</v>
      </c>
      <c r="BR318">
        <v>0</v>
      </c>
      <c r="BS318">
        <v>1616.007305936073</v>
      </c>
      <c r="BT318">
        <v>-1508.1593607305936</v>
      </c>
      <c r="BZ318" t="s">
        <v>1041</v>
      </c>
      <c r="CE318">
        <v>0</v>
      </c>
    </row>
    <row r="319" spans="1:83">
      <c r="A319">
        <v>1630</v>
      </c>
      <c r="B319" t="s">
        <v>877</v>
      </c>
      <c r="C319" t="s">
        <v>54</v>
      </c>
      <c r="D319" t="s">
        <v>1</v>
      </c>
      <c r="E319" t="s">
        <v>115</v>
      </c>
      <c r="F319" t="s">
        <v>99</v>
      </c>
      <c r="G319" t="s">
        <v>100</v>
      </c>
      <c r="H319" t="s">
        <v>128</v>
      </c>
      <c r="I319" t="s">
        <v>100</v>
      </c>
      <c r="J319" t="s">
        <v>101</v>
      </c>
      <c r="K319" t="s">
        <v>559</v>
      </c>
      <c r="L319" t="s">
        <v>559</v>
      </c>
      <c r="M319" t="s">
        <v>100</v>
      </c>
      <c r="N319" t="s">
        <v>555</v>
      </c>
      <c r="O319" t="s">
        <v>100</v>
      </c>
      <c r="Q319" t="s">
        <v>555</v>
      </c>
      <c r="R319" t="s">
        <v>119</v>
      </c>
      <c r="S319" t="s">
        <v>130</v>
      </c>
      <c r="T319" t="s">
        <v>120</v>
      </c>
      <c r="U319" t="s">
        <v>101</v>
      </c>
      <c r="V319" t="s">
        <v>121</v>
      </c>
      <c r="W319" t="s">
        <v>122</v>
      </c>
      <c r="X319" t="s">
        <v>123</v>
      </c>
      <c r="Y319">
        <v>1</v>
      </c>
      <c r="Z319" t="s">
        <v>598</v>
      </c>
      <c r="AA319" s="280">
        <v>44865</v>
      </c>
      <c r="AB319" t="s">
        <v>114</v>
      </c>
      <c r="AC319" t="s">
        <v>124</v>
      </c>
      <c r="AD319" s="280">
        <v>45016</v>
      </c>
      <c r="AE319" t="s">
        <v>125</v>
      </c>
      <c r="AF319">
        <v>6</v>
      </c>
      <c r="AG319">
        <v>0</v>
      </c>
      <c r="AH319">
        <v>0</v>
      </c>
      <c r="AI319" t="s">
        <v>126</v>
      </c>
      <c r="AL319">
        <v>3.5863013698630137</v>
      </c>
      <c r="AM319">
        <v>0</v>
      </c>
      <c r="AN319">
        <v>3.5863013698630137</v>
      </c>
      <c r="AO319">
        <v>2.5863013698630137</v>
      </c>
      <c r="AP319" t="s">
        <v>1050</v>
      </c>
      <c r="AR319" t="s">
        <v>127</v>
      </c>
      <c r="AS319">
        <v>3749</v>
      </c>
      <c r="AX319">
        <v>3749</v>
      </c>
      <c r="AY319">
        <v>2240.8406392694064</v>
      </c>
      <c r="AZ319">
        <v>0</v>
      </c>
      <c r="BC319">
        <v>-1508.1593607305936</v>
      </c>
      <c r="BE319" t="s">
        <v>114</v>
      </c>
      <c r="BH319">
        <v>-624.83333333333337</v>
      </c>
      <c r="BI319">
        <v>-52.06944444444445</v>
      </c>
      <c r="BK319" t="s">
        <v>116</v>
      </c>
      <c r="BL319">
        <v>0</v>
      </c>
      <c r="BM319">
        <v>-2132.992694063927</v>
      </c>
      <c r="BR319">
        <v>0</v>
      </c>
      <c r="BS319">
        <v>1616.007305936073</v>
      </c>
      <c r="BT319">
        <v>-1508.1593607305936</v>
      </c>
      <c r="BZ319" t="s">
        <v>1040</v>
      </c>
      <c r="CE319">
        <v>0</v>
      </c>
    </row>
    <row r="320" spans="1:83">
      <c r="A320">
        <v>1628</v>
      </c>
      <c r="B320" t="s">
        <v>877</v>
      </c>
      <c r="C320" t="s">
        <v>54</v>
      </c>
      <c r="D320" t="s">
        <v>1</v>
      </c>
      <c r="E320" t="s">
        <v>115</v>
      </c>
      <c r="F320" t="s">
        <v>99</v>
      </c>
      <c r="G320" t="s">
        <v>100</v>
      </c>
      <c r="H320" t="s">
        <v>128</v>
      </c>
      <c r="I320" t="s">
        <v>100</v>
      </c>
      <c r="J320" t="s">
        <v>101</v>
      </c>
      <c r="K320" t="s">
        <v>559</v>
      </c>
      <c r="L320" t="s">
        <v>559</v>
      </c>
      <c r="M320" t="s">
        <v>100</v>
      </c>
      <c r="N320" t="s">
        <v>555</v>
      </c>
      <c r="O320" t="s">
        <v>100</v>
      </c>
      <c r="Q320" t="s">
        <v>555</v>
      </c>
      <c r="R320" t="s">
        <v>119</v>
      </c>
      <c r="S320" t="s">
        <v>130</v>
      </c>
      <c r="T320" t="s">
        <v>120</v>
      </c>
      <c r="U320" t="s">
        <v>101</v>
      </c>
      <c r="V320" t="s">
        <v>121</v>
      </c>
      <c r="W320" t="s">
        <v>122</v>
      </c>
      <c r="X320" t="s">
        <v>123</v>
      </c>
      <c r="Y320">
        <v>1</v>
      </c>
      <c r="Z320" t="s">
        <v>598</v>
      </c>
      <c r="AA320" s="280">
        <v>44865</v>
      </c>
      <c r="AB320" t="s">
        <v>114</v>
      </c>
      <c r="AC320" t="s">
        <v>124</v>
      </c>
      <c r="AD320" s="280">
        <v>45016</v>
      </c>
      <c r="AE320" t="s">
        <v>125</v>
      </c>
      <c r="AF320">
        <v>6</v>
      </c>
      <c r="AG320">
        <v>0</v>
      </c>
      <c r="AH320">
        <v>0</v>
      </c>
      <c r="AI320" t="s">
        <v>126</v>
      </c>
      <c r="AL320">
        <v>3.5863013698630137</v>
      </c>
      <c r="AM320">
        <v>0</v>
      </c>
      <c r="AN320">
        <v>3.5863013698630137</v>
      </c>
      <c r="AO320">
        <v>2.5863013698630137</v>
      </c>
      <c r="AP320" t="s">
        <v>1050</v>
      </c>
      <c r="AR320" t="s">
        <v>127</v>
      </c>
      <c r="AS320">
        <v>3749</v>
      </c>
      <c r="AX320">
        <v>3749</v>
      </c>
      <c r="AY320">
        <v>2240.8406392694064</v>
      </c>
      <c r="AZ320">
        <v>0</v>
      </c>
      <c r="BC320">
        <v>-1508.1593607305936</v>
      </c>
      <c r="BE320" t="s">
        <v>114</v>
      </c>
      <c r="BH320">
        <v>-624.83333333333337</v>
      </c>
      <c r="BI320">
        <v>-52.06944444444445</v>
      </c>
      <c r="BK320" t="s">
        <v>116</v>
      </c>
      <c r="BL320">
        <v>0</v>
      </c>
      <c r="BM320">
        <v>-2132.992694063927</v>
      </c>
      <c r="BR320">
        <v>0</v>
      </c>
      <c r="BS320">
        <v>1616.007305936073</v>
      </c>
      <c r="BT320">
        <v>-1508.1593607305936</v>
      </c>
      <c r="BZ320" t="s">
        <v>1016</v>
      </c>
      <c r="CE320">
        <v>0</v>
      </c>
    </row>
    <row r="321" spans="1:83">
      <c r="A321">
        <v>1627</v>
      </c>
      <c r="B321" t="s">
        <v>859</v>
      </c>
      <c r="C321" t="s">
        <v>54</v>
      </c>
      <c r="D321" t="s">
        <v>1</v>
      </c>
      <c r="E321" t="s">
        <v>115</v>
      </c>
      <c r="F321" t="s">
        <v>99</v>
      </c>
      <c r="G321" t="s">
        <v>100</v>
      </c>
      <c r="H321" t="s">
        <v>128</v>
      </c>
      <c r="I321" t="s">
        <v>100</v>
      </c>
      <c r="J321" t="s">
        <v>101</v>
      </c>
      <c r="K321" t="s">
        <v>559</v>
      </c>
      <c r="L321" t="s">
        <v>559</v>
      </c>
      <c r="M321" t="s">
        <v>100</v>
      </c>
      <c r="N321" t="s">
        <v>554</v>
      </c>
      <c r="O321" t="s">
        <v>100</v>
      </c>
      <c r="Q321" t="s">
        <v>554</v>
      </c>
      <c r="R321" t="s">
        <v>119</v>
      </c>
      <c r="S321" t="s">
        <v>130</v>
      </c>
      <c r="T321" t="s">
        <v>120</v>
      </c>
      <c r="U321" t="s">
        <v>101</v>
      </c>
      <c r="V321" t="s">
        <v>121</v>
      </c>
      <c r="W321" t="s">
        <v>122</v>
      </c>
      <c r="X321" t="s">
        <v>123</v>
      </c>
      <c r="Y321">
        <v>1</v>
      </c>
      <c r="Z321" t="s">
        <v>598</v>
      </c>
      <c r="AA321" s="280">
        <v>44865</v>
      </c>
      <c r="AB321" t="s">
        <v>114</v>
      </c>
      <c r="AC321" t="s">
        <v>124</v>
      </c>
      <c r="AD321" s="280">
        <v>45016</v>
      </c>
      <c r="AE321" t="s">
        <v>125</v>
      </c>
      <c r="AF321">
        <v>6</v>
      </c>
      <c r="AG321">
        <v>0</v>
      </c>
      <c r="AH321">
        <v>0</v>
      </c>
      <c r="AI321" t="s">
        <v>126</v>
      </c>
      <c r="AL321">
        <v>3.5863013698630137</v>
      </c>
      <c r="AM321">
        <v>0</v>
      </c>
      <c r="AN321">
        <v>3.5863013698630137</v>
      </c>
      <c r="AO321">
        <v>2.5863013698630137</v>
      </c>
      <c r="AP321" t="s">
        <v>1050</v>
      </c>
      <c r="AR321" t="s">
        <v>127</v>
      </c>
      <c r="AS321">
        <v>1697.4</v>
      </c>
      <c r="AX321">
        <v>1697.4</v>
      </c>
      <c r="AY321">
        <v>1014.5646575342466</v>
      </c>
      <c r="AZ321">
        <v>0</v>
      </c>
      <c r="BC321">
        <v>-682.83534246575346</v>
      </c>
      <c r="BE321" t="s">
        <v>114</v>
      </c>
      <c r="BH321">
        <v>-282.90000000000003</v>
      </c>
      <c r="BI321">
        <v>-23.575000000000003</v>
      </c>
      <c r="BK321" t="s">
        <v>116</v>
      </c>
      <c r="BL321">
        <v>0</v>
      </c>
      <c r="BM321">
        <v>-965.73534246575355</v>
      </c>
      <c r="BR321">
        <v>0</v>
      </c>
      <c r="BS321">
        <v>731.66465753424654</v>
      </c>
      <c r="BT321">
        <v>-682.83534246575346</v>
      </c>
      <c r="BZ321" t="s">
        <v>1021</v>
      </c>
      <c r="CE321">
        <v>0</v>
      </c>
    </row>
    <row r="322" spans="1:83">
      <c r="A322">
        <v>1626</v>
      </c>
      <c r="B322" t="s">
        <v>901</v>
      </c>
      <c r="C322" t="s">
        <v>54</v>
      </c>
      <c r="D322" t="s">
        <v>1</v>
      </c>
      <c r="E322" t="s">
        <v>115</v>
      </c>
      <c r="F322" t="s">
        <v>99</v>
      </c>
      <c r="G322" t="s">
        <v>100</v>
      </c>
      <c r="H322" t="s">
        <v>128</v>
      </c>
      <c r="I322" t="s">
        <v>100</v>
      </c>
      <c r="J322" t="s">
        <v>101</v>
      </c>
      <c r="K322" t="s">
        <v>559</v>
      </c>
      <c r="L322" t="s">
        <v>559</v>
      </c>
      <c r="M322" t="s">
        <v>100</v>
      </c>
      <c r="N322" t="s">
        <v>554</v>
      </c>
      <c r="O322" t="s">
        <v>100</v>
      </c>
      <c r="Q322" t="s">
        <v>554</v>
      </c>
      <c r="R322" t="s">
        <v>119</v>
      </c>
      <c r="S322" t="s">
        <v>130</v>
      </c>
      <c r="T322" t="s">
        <v>120</v>
      </c>
      <c r="U322" t="s">
        <v>101</v>
      </c>
      <c r="V322" t="s">
        <v>121</v>
      </c>
      <c r="W322" t="s">
        <v>122</v>
      </c>
      <c r="X322" t="s">
        <v>123</v>
      </c>
      <c r="Y322">
        <v>1</v>
      </c>
      <c r="Z322" t="s">
        <v>598</v>
      </c>
      <c r="AA322" s="280">
        <v>44865</v>
      </c>
      <c r="AB322" t="s">
        <v>114</v>
      </c>
      <c r="AC322" t="s">
        <v>124</v>
      </c>
      <c r="AD322" s="280">
        <v>45016</v>
      </c>
      <c r="AE322" t="s">
        <v>125</v>
      </c>
      <c r="AF322">
        <v>6</v>
      </c>
      <c r="AG322">
        <v>0</v>
      </c>
      <c r="AH322">
        <v>0</v>
      </c>
      <c r="AI322" t="s">
        <v>126</v>
      </c>
      <c r="AL322">
        <v>3.5863013698630137</v>
      </c>
      <c r="AM322">
        <v>0</v>
      </c>
      <c r="AN322">
        <v>3.5863013698630137</v>
      </c>
      <c r="AO322">
        <v>2.5863013698630137</v>
      </c>
      <c r="AP322" t="s">
        <v>1050</v>
      </c>
      <c r="AR322" t="s">
        <v>127</v>
      </c>
      <c r="AS322">
        <v>1697.4</v>
      </c>
      <c r="AX322">
        <v>1697.4</v>
      </c>
      <c r="AY322">
        <v>1014.5646575342466</v>
      </c>
      <c r="AZ322">
        <v>0</v>
      </c>
      <c r="BC322">
        <v>-682.83534246575346</v>
      </c>
      <c r="BE322" t="s">
        <v>114</v>
      </c>
      <c r="BH322">
        <v>-282.90000000000003</v>
      </c>
      <c r="BI322">
        <v>-23.575000000000003</v>
      </c>
      <c r="BK322" t="s">
        <v>116</v>
      </c>
      <c r="BL322">
        <v>0</v>
      </c>
      <c r="BM322">
        <v>-965.73534246575355</v>
      </c>
      <c r="BR322">
        <v>0</v>
      </c>
      <c r="BS322">
        <v>731.66465753424654</v>
      </c>
      <c r="BT322">
        <v>-682.83534246575346</v>
      </c>
      <c r="BZ322" t="s">
        <v>1018</v>
      </c>
      <c r="CE322">
        <v>0</v>
      </c>
    </row>
    <row r="323" spans="1:83">
      <c r="A323">
        <v>1625</v>
      </c>
      <c r="B323" t="s">
        <v>867</v>
      </c>
      <c r="C323" t="s">
        <v>54</v>
      </c>
      <c r="D323" t="s">
        <v>1</v>
      </c>
      <c r="E323" t="s">
        <v>115</v>
      </c>
      <c r="F323" t="s">
        <v>99</v>
      </c>
      <c r="G323" t="s">
        <v>100</v>
      </c>
      <c r="H323" t="s">
        <v>128</v>
      </c>
      <c r="I323" t="s">
        <v>100</v>
      </c>
      <c r="J323" t="s">
        <v>101</v>
      </c>
      <c r="K323" t="s">
        <v>559</v>
      </c>
      <c r="L323" t="s">
        <v>559</v>
      </c>
      <c r="M323" t="s">
        <v>100</v>
      </c>
      <c r="N323" t="s">
        <v>554</v>
      </c>
      <c r="O323" t="s">
        <v>100</v>
      </c>
      <c r="Q323" t="s">
        <v>554</v>
      </c>
      <c r="R323" t="s">
        <v>119</v>
      </c>
      <c r="S323" t="s">
        <v>130</v>
      </c>
      <c r="T323" t="s">
        <v>120</v>
      </c>
      <c r="U323" t="s">
        <v>101</v>
      </c>
      <c r="V323" t="s">
        <v>121</v>
      </c>
      <c r="W323" t="s">
        <v>122</v>
      </c>
      <c r="X323" t="s">
        <v>123</v>
      </c>
      <c r="Y323">
        <v>1</v>
      </c>
      <c r="Z323" t="s">
        <v>598</v>
      </c>
      <c r="AA323" s="280">
        <v>44865</v>
      </c>
      <c r="AB323" t="s">
        <v>114</v>
      </c>
      <c r="AC323" t="s">
        <v>124</v>
      </c>
      <c r="AD323" s="280">
        <v>45016</v>
      </c>
      <c r="AE323" t="s">
        <v>125</v>
      </c>
      <c r="AF323">
        <v>6</v>
      </c>
      <c r="AG323">
        <v>0</v>
      </c>
      <c r="AH323">
        <v>0</v>
      </c>
      <c r="AI323" t="s">
        <v>126</v>
      </c>
      <c r="AL323">
        <v>3.5863013698630137</v>
      </c>
      <c r="AM323">
        <v>0</v>
      </c>
      <c r="AN323">
        <v>3.5863013698630137</v>
      </c>
      <c r="AO323">
        <v>2.5863013698630137</v>
      </c>
      <c r="AP323" t="s">
        <v>1050</v>
      </c>
      <c r="AR323" t="s">
        <v>127</v>
      </c>
      <c r="AS323">
        <v>1697.4</v>
      </c>
      <c r="AX323">
        <v>1697.4</v>
      </c>
      <c r="AY323">
        <v>1014.5646575342466</v>
      </c>
      <c r="AZ323">
        <v>0</v>
      </c>
      <c r="BC323">
        <v>-682.83534246575346</v>
      </c>
      <c r="BE323" t="s">
        <v>114</v>
      </c>
      <c r="BH323">
        <v>-282.90000000000003</v>
      </c>
      <c r="BI323">
        <v>-23.575000000000003</v>
      </c>
      <c r="BK323" t="s">
        <v>116</v>
      </c>
      <c r="BL323">
        <v>0</v>
      </c>
      <c r="BM323">
        <v>-965.73534246575355</v>
      </c>
      <c r="BR323">
        <v>0</v>
      </c>
      <c r="BS323">
        <v>731.66465753424654</v>
      </c>
      <c r="BT323">
        <v>-682.83534246575346</v>
      </c>
      <c r="BZ323" t="s">
        <v>1037</v>
      </c>
      <c r="CE323">
        <v>0</v>
      </c>
    </row>
    <row r="324" spans="1:83">
      <c r="A324">
        <v>1624</v>
      </c>
      <c r="B324" t="s">
        <v>872</v>
      </c>
      <c r="C324" t="s">
        <v>54</v>
      </c>
      <c r="D324" t="s">
        <v>1</v>
      </c>
      <c r="E324" t="s">
        <v>115</v>
      </c>
      <c r="F324" t="s">
        <v>99</v>
      </c>
      <c r="G324" t="s">
        <v>100</v>
      </c>
      <c r="H324" t="s">
        <v>128</v>
      </c>
      <c r="I324" t="s">
        <v>100</v>
      </c>
      <c r="J324" t="s">
        <v>101</v>
      </c>
      <c r="K324" t="s">
        <v>559</v>
      </c>
      <c r="L324" t="s">
        <v>559</v>
      </c>
      <c r="M324" t="s">
        <v>100</v>
      </c>
      <c r="N324" t="s">
        <v>554</v>
      </c>
      <c r="O324" t="s">
        <v>100</v>
      </c>
      <c r="Q324" t="s">
        <v>554</v>
      </c>
      <c r="R324" t="s">
        <v>119</v>
      </c>
      <c r="S324" t="s">
        <v>130</v>
      </c>
      <c r="T324" t="s">
        <v>120</v>
      </c>
      <c r="U324" t="s">
        <v>101</v>
      </c>
      <c r="V324" t="s">
        <v>121</v>
      </c>
      <c r="W324" t="s">
        <v>122</v>
      </c>
      <c r="X324" t="s">
        <v>123</v>
      </c>
      <c r="Y324">
        <v>1</v>
      </c>
      <c r="Z324" t="s">
        <v>598</v>
      </c>
      <c r="AA324" s="280">
        <v>44865</v>
      </c>
      <c r="AB324" t="s">
        <v>114</v>
      </c>
      <c r="AC324" t="s">
        <v>124</v>
      </c>
      <c r="AD324" s="280">
        <v>45016</v>
      </c>
      <c r="AE324" t="s">
        <v>125</v>
      </c>
      <c r="AF324">
        <v>6</v>
      </c>
      <c r="AG324">
        <v>0</v>
      </c>
      <c r="AH324">
        <v>0</v>
      </c>
      <c r="AI324" t="s">
        <v>126</v>
      </c>
      <c r="AL324">
        <v>3.5863013698630137</v>
      </c>
      <c r="AM324">
        <v>0</v>
      </c>
      <c r="AN324">
        <v>3.5863013698630137</v>
      </c>
      <c r="AO324">
        <v>2.5863013698630137</v>
      </c>
      <c r="AP324" t="s">
        <v>1050</v>
      </c>
      <c r="AR324" t="s">
        <v>127</v>
      </c>
      <c r="AS324">
        <v>1697.4</v>
      </c>
      <c r="AX324">
        <v>1697.4</v>
      </c>
      <c r="AY324">
        <v>1014.5646575342466</v>
      </c>
      <c r="AZ324">
        <v>0</v>
      </c>
      <c r="BC324">
        <v>-682.83534246575346</v>
      </c>
      <c r="BE324" t="s">
        <v>114</v>
      </c>
      <c r="BH324">
        <v>-282.90000000000003</v>
      </c>
      <c r="BI324">
        <v>-23.575000000000003</v>
      </c>
      <c r="BK324" t="s">
        <v>116</v>
      </c>
      <c r="BL324">
        <v>0</v>
      </c>
      <c r="BM324">
        <v>-965.73534246575355</v>
      </c>
      <c r="BR324">
        <v>0</v>
      </c>
      <c r="BS324">
        <v>731.66465753424654</v>
      </c>
      <c r="BT324">
        <v>-682.83534246575346</v>
      </c>
      <c r="BZ324" t="s">
        <v>956</v>
      </c>
      <c r="CE324">
        <v>0</v>
      </c>
    </row>
    <row r="325" spans="1:83">
      <c r="A325">
        <v>1623</v>
      </c>
      <c r="B325" t="s">
        <v>877</v>
      </c>
      <c r="C325" t="s">
        <v>54</v>
      </c>
      <c r="D325" t="s">
        <v>1</v>
      </c>
      <c r="E325" t="s">
        <v>115</v>
      </c>
      <c r="F325" t="s">
        <v>99</v>
      </c>
      <c r="G325" t="s">
        <v>100</v>
      </c>
      <c r="H325" t="s">
        <v>128</v>
      </c>
      <c r="I325" t="s">
        <v>100</v>
      </c>
      <c r="J325" t="s">
        <v>101</v>
      </c>
      <c r="K325" t="s">
        <v>559</v>
      </c>
      <c r="L325" t="s">
        <v>559</v>
      </c>
      <c r="M325" t="s">
        <v>100</v>
      </c>
      <c r="N325" t="s">
        <v>554</v>
      </c>
      <c r="O325" t="s">
        <v>100</v>
      </c>
      <c r="Q325" t="s">
        <v>554</v>
      </c>
      <c r="R325" t="s">
        <v>119</v>
      </c>
      <c r="S325" t="s">
        <v>130</v>
      </c>
      <c r="T325" t="s">
        <v>120</v>
      </c>
      <c r="U325" t="s">
        <v>101</v>
      </c>
      <c r="V325" t="s">
        <v>121</v>
      </c>
      <c r="W325" t="s">
        <v>122</v>
      </c>
      <c r="X325" t="s">
        <v>123</v>
      </c>
      <c r="Y325">
        <v>1</v>
      </c>
      <c r="Z325" t="s">
        <v>598</v>
      </c>
      <c r="AA325" s="280">
        <v>44865</v>
      </c>
      <c r="AB325" t="s">
        <v>114</v>
      </c>
      <c r="AC325" t="s">
        <v>124</v>
      </c>
      <c r="AD325" s="280">
        <v>45016</v>
      </c>
      <c r="AE325" t="s">
        <v>125</v>
      </c>
      <c r="AF325">
        <v>6</v>
      </c>
      <c r="AG325">
        <v>0</v>
      </c>
      <c r="AH325">
        <v>0</v>
      </c>
      <c r="AI325" t="s">
        <v>126</v>
      </c>
      <c r="AL325">
        <v>3.5863013698630137</v>
      </c>
      <c r="AM325">
        <v>0</v>
      </c>
      <c r="AN325">
        <v>3.5863013698630137</v>
      </c>
      <c r="AO325">
        <v>2.5863013698630137</v>
      </c>
      <c r="AP325" t="s">
        <v>1050</v>
      </c>
      <c r="AR325" t="s">
        <v>127</v>
      </c>
      <c r="AS325">
        <v>1697.4</v>
      </c>
      <c r="AX325">
        <v>1697.4</v>
      </c>
      <c r="AY325">
        <v>1014.5646575342466</v>
      </c>
      <c r="AZ325">
        <v>0</v>
      </c>
      <c r="BC325">
        <v>-682.83534246575346</v>
      </c>
      <c r="BE325" t="s">
        <v>114</v>
      </c>
      <c r="BH325">
        <v>-282.90000000000003</v>
      </c>
      <c r="BI325">
        <v>-23.575000000000003</v>
      </c>
      <c r="BK325" t="s">
        <v>116</v>
      </c>
      <c r="BL325">
        <v>0</v>
      </c>
      <c r="BM325">
        <v>-965.73534246575355</v>
      </c>
      <c r="BR325">
        <v>0</v>
      </c>
      <c r="BS325">
        <v>731.66465753424654</v>
      </c>
      <c r="BT325">
        <v>-682.83534246575346</v>
      </c>
      <c r="BZ325" t="s">
        <v>1041</v>
      </c>
      <c r="CE325">
        <v>0</v>
      </c>
    </row>
    <row r="326" spans="1:83">
      <c r="A326">
        <v>11623</v>
      </c>
      <c r="B326" t="s">
        <v>887</v>
      </c>
      <c r="C326" t="s">
        <v>54</v>
      </c>
      <c r="D326" t="s">
        <v>1</v>
      </c>
      <c r="E326" t="s">
        <v>115</v>
      </c>
      <c r="F326" t="s">
        <v>99</v>
      </c>
      <c r="G326" t="s">
        <v>100</v>
      </c>
      <c r="H326" t="s">
        <v>128</v>
      </c>
      <c r="I326" t="s">
        <v>100</v>
      </c>
      <c r="J326" t="s">
        <v>101</v>
      </c>
      <c r="K326" t="s">
        <v>559</v>
      </c>
      <c r="L326" t="s">
        <v>559</v>
      </c>
      <c r="M326" t="s">
        <v>100</v>
      </c>
      <c r="N326" t="s">
        <v>554</v>
      </c>
      <c r="O326" t="s">
        <v>100</v>
      </c>
      <c r="Q326" t="s">
        <v>554</v>
      </c>
      <c r="R326" t="s">
        <v>119</v>
      </c>
      <c r="S326" t="s">
        <v>130</v>
      </c>
      <c r="T326" t="s">
        <v>120</v>
      </c>
      <c r="U326" t="s">
        <v>101</v>
      </c>
      <c r="V326" t="s">
        <v>121</v>
      </c>
      <c r="W326" t="s">
        <v>122</v>
      </c>
      <c r="X326" t="s">
        <v>123</v>
      </c>
      <c r="Y326">
        <v>1</v>
      </c>
      <c r="Z326" t="s">
        <v>598</v>
      </c>
      <c r="AA326" s="280">
        <v>44865</v>
      </c>
      <c r="AB326" t="s">
        <v>114</v>
      </c>
      <c r="AC326" t="s">
        <v>124</v>
      </c>
      <c r="AD326" s="280">
        <v>45016</v>
      </c>
      <c r="AE326" t="s">
        <v>125</v>
      </c>
      <c r="AF326">
        <v>6</v>
      </c>
      <c r="AG326">
        <v>0</v>
      </c>
      <c r="AH326">
        <v>0</v>
      </c>
      <c r="AI326" t="s">
        <v>126</v>
      </c>
      <c r="AL326">
        <v>3.5863013698630137</v>
      </c>
      <c r="AM326">
        <v>0</v>
      </c>
      <c r="AN326">
        <v>3.5863013698630137</v>
      </c>
      <c r="AO326">
        <v>2.5863013698630137</v>
      </c>
      <c r="AP326" t="s">
        <v>1051</v>
      </c>
      <c r="AR326" t="s">
        <v>127</v>
      </c>
      <c r="AS326">
        <v>1697.4</v>
      </c>
      <c r="AX326">
        <v>1697.4</v>
      </c>
      <c r="AY326">
        <v>1014.5646575342466</v>
      </c>
      <c r="AZ326">
        <v>0</v>
      </c>
      <c r="BC326">
        <v>-682.83534246575346</v>
      </c>
      <c r="BE326" t="s">
        <v>114</v>
      </c>
      <c r="BH326">
        <v>-282.90000000000003</v>
      </c>
      <c r="BI326">
        <v>-23.575000000000003</v>
      </c>
      <c r="BK326" t="s">
        <v>116</v>
      </c>
      <c r="BL326">
        <v>0</v>
      </c>
      <c r="BM326">
        <v>-965.73534246575355</v>
      </c>
      <c r="BR326">
        <v>0</v>
      </c>
      <c r="BS326">
        <v>731.66465753424654</v>
      </c>
      <c r="BT326">
        <v>-682.83534246575346</v>
      </c>
      <c r="BZ326" t="s">
        <v>1032</v>
      </c>
      <c r="CE326">
        <v>0</v>
      </c>
    </row>
    <row r="327" spans="1:83">
      <c r="A327">
        <v>1622</v>
      </c>
      <c r="B327" t="s">
        <v>867</v>
      </c>
      <c r="C327" t="s">
        <v>54</v>
      </c>
      <c r="D327" t="s">
        <v>1</v>
      </c>
      <c r="E327" t="s">
        <v>115</v>
      </c>
      <c r="F327" t="s">
        <v>99</v>
      </c>
      <c r="G327" t="s">
        <v>100</v>
      </c>
      <c r="H327" t="s">
        <v>128</v>
      </c>
      <c r="I327" t="s">
        <v>100</v>
      </c>
      <c r="J327" t="s">
        <v>101</v>
      </c>
      <c r="K327" t="s">
        <v>559</v>
      </c>
      <c r="L327" t="s">
        <v>559</v>
      </c>
      <c r="M327" t="s">
        <v>100</v>
      </c>
      <c r="N327" t="s">
        <v>554</v>
      </c>
      <c r="O327" t="s">
        <v>100</v>
      </c>
      <c r="Q327" t="s">
        <v>554</v>
      </c>
      <c r="R327" t="s">
        <v>119</v>
      </c>
      <c r="S327" t="s">
        <v>130</v>
      </c>
      <c r="T327" t="s">
        <v>120</v>
      </c>
      <c r="U327" t="s">
        <v>101</v>
      </c>
      <c r="V327" t="s">
        <v>121</v>
      </c>
      <c r="W327" t="s">
        <v>122</v>
      </c>
      <c r="X327" t="s">
        <v>123</v>
      </c>
      <c r="Y327">
        <v>1</v>
      </c>
      <c r="Z327" t="s">
        <v>598</v>
      </c>
      <c r="AA327" s="280">
        <v>44865</v>
      </c>
      <c r="AB327" t="s">
        <v>114</v>
      </c>
      <c r="AC327" t="s">
        <v>124</v>
      </c>
      <c r="AD327" s="280">
        <v>45016</v>
      </c>
      <c r="AE327" t="s">
        <v>125</v>
      </c>
      <c r="AF327">
        <v>6</v>
      </c>
      <c r="AG327">
        <v>0</v>
      </c>
      <c r="AH327">
        <v>0</v>
      </c>
      <c r="AI327" t="s">
        <v>126</v>
      </c>
      <c r="AL327">
        <v>3.5863013698630137</v>
      </c>
      <c r="AM327">
        <v>0</v>
      </c>
      <c r="AN327">
        <v>3.5863013698630137</v>
      </c>
      <c r="AO327">
        <v>2.5863013698630137</v>
      </c>
      <c r="AP327" t="s">
        <v>1050</v>
      </c>
      <c r="AR327" t="s">
        <v>127</v>
      </c>
      <c r="AS327">
        <v>1697.4</v>
      </c>
      <c r="AX327">
        <v>1697.4</v>
      </c>
      <c r="AY327">
        <v>1014.5646575342466</v>
      </c>
      <c r="AZ327">
        <v>0</v>
      </c>
      <c r="BC327">
        <v>-682.83534246575346</v>
      </c>
      <c r="BE327" t="s">
        <v>114</v>
      </c>
      <c r="BH327">
        <v>-282.90000000000003</v>
      </c>
      <c r="BI327">
        <v>-23.575000000000003</v>
      </c>
      <c r="BK327" t="s">
        <v>116</v>
      </c>
      <c r="BL327">
        <v>0</v>
      </c>
      <c r="BM327">
        <v>-965.73534246575355</v>
      </c>
      <c r="BR327">
        <v>0</v>
      </c>
      <c r="BS327">
        <v>731.66465753424654</v>
      </c>
      <c r="BT327">
        <v>-682.83534246575346</v>
      </c>
      <c r="BZ327" t="s">
        <v>1026</v>
      </c>
      <c r="CE327">
        <v>0</v>
      </c>
    </row>
    <row r="328" spans="1:83">
      <c r="A328">
        <v>1621</v>
      </c>
      <c r="B328" t="s">
        <v>867</v>
      </c>
      <c r="C328" t="s">
        <v>54</v>
      </c>
      <c r="D328" t="s">
        <v>1</v>
      </c>
      <c r="E328" t="s">
        <v>115</v>
      </c>
      <c r="F328" t="s">
        <v>99</v>
      </c>
      <c r="G328" t="s">
        <v>100</v>
      </c>
      <c r="H328" t="s">
        <v>128</v>
      </c>
      <c r="I328" t="s">
        <v>100</v>
      </c>
      <c r="J328" t="s">
        <v>101</v>
      </c>
      <c r="K328" t="s">
        <v>559</v>
      </c>
      <c r="L328" t="s">
        <v>559</v>
      </c>
      <c r="M328" t="s">
        <v>100</v>
      </c>
      <c r="N328" t="s">
        <v>554</v>
      </c>
      <c r="O328" t="s">
        <v>100</v>
      </c>
      <c r="Q328" t="s">
        <v>554</v>
      </c>
      <c r="R328" t="s">
        <v>119</v>
      </c>
      <c r="S328" t="s">
        <v>130</v>
      </c>
      <c r="T328" t="s">
        <v>120</v>
      </c>
      <c r="U328" t="s">
        <v>101</v>
      </c>
      <c r="V328" t="s">
        <v>121</v>
      </c>
      <c r="W328" t="s">
        <v>122</v>
      </c>
      <c r="X328" t="s">
        <v>123</v>
      </c>
      <c r="Y328">
        <v>1</v>
      </c>
      <c r="Z328" t="s">
        <v>598</v>
      </c>
      <c r="AA328" s="280">
        <v>44865</v>
      </c>
      <c r="AB328" t="s">
        <v>114</v>
      </c>
      <c r="AC328" t="s">
        <v>124</v>
      </c>
      <c r="AD328" s="280">
        <v>45016</v>
      </c>
      <c r="AE328" t="s">
        <v>125</v>
      </c>
      <c r="AF328">
        <v>6</v>
      </c>
      <c r="AG328">
        <v>0</v>
      </c>
      <c r="AH328">
        <v>0</v>
      </c>
      <c r="AI328" t="s">
        <v>126</v>
      </c>
      <c r="AL328">
        <v>3.5863013698630137</v>
      </c>
      <c r="AM328">
        <v>0</v>
      </c>
      <c r="AN328">
        <v>3.5863013698630137</v>
      </c>
      <c r="AO328">
        <v>2.5863013698630137</v>
      </c>
      <c r="AP328" t="s">
        <v>1050</v>
      </c>
      <c r="AR328" t="s">
        <v>127</v>
      </c>
      <c r="AS328">
        <v>1697.4</v>
      </c>
      <c r="AX328">
        <v>1697.4</v>
      </c>
      <c r="AY328">
        <v>1014.5646575342466</v>
      </c>
      <c r="AZ328">
        <v>0</v>
      </c>
      <c r="BC328">
        <v>-682.83534246575346</v>
      </c>
      <c r="BE328" t="s">
        <v>114</v>
      </c>
      <c r="BH328">
        <v>-282.90000000000003</v>
      </c>
      <c r="BI328">
        <v>-23.575000000000003</v>
      </c>
      <c r="BK328" t="s">
        <v>116</v>
      </c>
      <c r="BL328">
        <v>0</v>
      </c>
      <c r="BM328">
        <v>-965.73534246575355</v>
      </c>
      <c r="BR328">
        <v>0</v>
      </c>
      <c r="BS328">
        <v>731.66465753424654</v>
      </c>
      <c r="BT328">
        <v>-682.83534246575346</v>
      </c>
      <c r="BZ328" t="s">
        <v>1037</v>
      </c>
      <c r="CE328">
        <v>0</v>
      </c>
    </row>
    <row r="329" spans="1:83">
      <c r="A329">
        <v>1620</v>
      </c>
      <c r="B329" t="s">
        <v>868</v>
      </c>
      <c r="C329" t="s">
        <v>54</v>
      </c>
      <c r="D329" t="s">
        <v>1</v>
      </c>
      <c r="E329" t="s">
        <v>115</v>
      </c>
      <c r="F329" t="s">
        <v>99</v>
      </c>
      <c r="G329" t="s">
        <v>100</v>
      </c>
      <c r="H329" t="s">
        <v>128</v>
      </c>
      <c r="I329" t="s">
        <v>100</v>
      </c>
      <c r="J329" t="s">
        <v>101</v>
      </c>
      <c r="K329" t="s">
        <v>559</v>
      </c>
      <c r="L329" t="s">
        <v>559</v>
      </c>
      <c r="M329" t="s">
        <v>100</v>
      </c>
      <c r="N329" t="s">
        <v>554</v>
      </c>
      <c r="O329" t="s">
        <v>100</v>
      </c>
      <c r="Q329" t="s">
        <v>554</v>
      </c>
      <c r="R329" t="s">
        <v>119</v>
      </c>
      <c r="S329" t="s">
        <v>130</v>
      </c>
      <c r="T329" t="s">
        <v>120</v>
      </c>
      <c r="U329" t="s">
        <v>101</v>
      </c>
      <c r="V329" t="s">
        <v>121</v>
      </c>
      <c r="W329" t="s">
        <v>122</v>
      </c>
      <c r="X329" t="s">
        <v>123</v>
      </c>
      <c r="Y329">
        <v>1</v>
      </c>
      <c r="Z329" t="s">
        <v>599</v>
      </c>
      <c r="AA329" s="280">
        <v>44882</v>
      </c>
      <c r="AB329" t="s">
        <v>114</v>
      </c>
      <c r="AC329" t="s">
        <v>124</v>
      </c>
      <c r="AD329" s="280">
        <v>45016</v>
      </c>
      <c r="AE329" t="s">
        <v>125</v>
      </c>
      <c r="AF329">
        <v>6</v>
      </c>
      <c r="AG329">
        <v>0</v>
      </c>
      <c r="AH329">
        <v>0</v>
      </c>
      <c r="AI329" t="s">
        <v>126</v>
      </c>
      <c r="AL329">
        <v>3.6328767123287671</v>
      </c>
      <c r="AM329">
        <v>0</v>
      </c>
      <c r="AN329">
        <v>3.6328767123287671</v>
      </c>
      <c r="AO329">
        <v>2.6328767123287671</v>
      </c>
      <c r="AP329" t="s">
        <v>1050</v>
      </c>
      <c r="AR329" t="s">
        <v>127</v>
      </c>
      <c r="AS329">
        <v>0</v>
      </c>
      <c r="AX329">
        <v>0</v>
      </c>
      <c r="AY329">
        <v>0</v>
      </c>
      <c r="AZ329">
        <v>0</v>
      </c>
      <c r="BC329">
        <v>0</v>
      </c>
      <c r="BE329" t="s">
        <v>114</v>
      </c>
      <c r="BH329">
        <v>0</v>
      </c>
      <c r="BI329">
        <v>0</v>
      </c>
      <c r="BK329" t="s">
        <v>116</v>
      </c>
      <c r="BL329">
        <v>0</v>
      </c>
      <c r="BM329">
        <v>0</v>
      </c>
      <c r="BR329">
        <v>0</v>
      </c>
      <c r="BS329">
        <v>0</v>
      </c>
      <c r="BT329">
        <v>0</v>
      </c>
      <c r="BZ329" t="s">
        <v>1042</v>
      </c>
      <c r="CE329">
        <v>0</v>
      </c>
    </row>
    <row r="330" spans="1:83">
      <c r="A330">
        <v>1619</v>
      </c>
      <c r="B330" t="s">
        <v>935</v>
      </c>
      <c r="C330" t="s">
        <v>54</v>
      </c>
      <c r="D330" t="s">
        <v>1</v>
      </c>
      <c r="E330" t="s">
        <v>115</v>
      </c>
      <c r="F330" t="s">
        <v>99</v>
      </c>
      <c r="G330" t="s">
        <v>100</v>
      </c>
      <c r="H330" t="s">
        <v>128</v>
      </c>
      <c r="I330" t="s">
        <v>100</v>
      </c>
      <c r="J330" t="s">
        <v>101</v>
      </c>
      <c r="K330" t="s">
        <v>559</v>
      </c>
      <c r="L330" t="s">
        <v>559</v>
      </c>
      <c r="M330" t="s">
        <v>100</v>
      </c>
      <c r="N330" t="s">
        <v>554</v>
      </c>
      <c r="O330" t="s">
        <v>100</v>
      </c>
      <c r="Q330" t="s">
        <v>554</v>
      </c>
      <c r="R330" t="s">
        <v>119</v>
      </c>
      <c r="S330" t="s">
        <v>130</v>
      </c>
      <c r="T330" t="s">
        <v>120</v>
      </c>
      <c r="U330" t="s">
        <v>101</v>
      </c>
      <c r="V330" t="s">
        <v>121</v>
      </c>
      <c r="W330" t="s">
        <v>122</v>
      </c>
      <c r="X330" t="s">
        <v>123</v>
      </c>
      <c r="Y330">
        <v>1</v>
      </c>
      <c r="Z330" t="s">
        <v>598</v>
      </c>
      <c r="AA330" s="280">
        <v>44865</v>
      </c>
      <c r="AB330" t="s">
        <v>114</v>
      </c>
      <c r="AC330" t="s">
        <v>124</v>
      </c>
      <c r="AD330" s="280">
        <v>45016</v>
      </c>
      <c r="AE330" t="s">
        <v>125</v>
      </c>
      <c r="AF330">
        <v>6</v>
      </c>
      <c r="AG330">
        <v>0</v>
      </c>
      <c r="AH330">
        <v>0</v>
      </c>
      <c r="AI330" t="s">
        <v>126</v>
      </c>
      <c r="AL330">
        <v>3.5863013698630137</v>
      </c>
      <c r="AM330">
        <v>0</v>
      </c>
      <c r="AN330">
        <v>3.5863013698630137</v>
      </c>
      <c r="AO330">
        <v>2.5863013698630137</v>
      </c>
      <c r="AP330" t="s">
        <v>1050</v>
      </c>
      <c r="AR330" t="s">
        <v>127</v>
      </c>
      <c r="AS330">
        <v>1697.4</v>
      </c>
      <c r="AX330">
        <v>1697.4</v>
      </c>
      <c r="AY330">
        <v>1014.5646575342466</v>
      </c>
      <c r="AZ330">
        <v>0</v>
      </c>
      <c r="BC330">
        <v>-682.83534246575346</v>
      </c>
      <c r="BE330" t="s">
        <v>114</v>
      </c>
      <c r="BH330">
        <v>-282.90000000000003</v>
      </c>
      <c r="BI330">
        <v>-23.575000000000003</v>
      </c>
      <c r="BK330" t="s">
        <v>116</v>
      </c>
      <c r="BL330">
        <v>0</v>
      </c>
      <c r="BM330">
        <v>-965.73534246575355</v>
      </c>
      <c r="BR330">
        <v>0</v>
      </c>
      <c r="BS330">
        <v>731.66465753424654</v>
      </c>
      <c r="BT330">
        <v>-682.83534246575346</v>
      </c>
      <c r="BZ330" t="s">
        <v>1036</v>
      </c>
      <c r="CE330">
        <v>0</v>
      </c>
    </row>
    <row r="331" spans="1:83">
      <c r="A331">
        <v>1618</v>
      </c>
      <c r="B331" t="s">
        <v>908</v>
      </c>
      <c r="C331" t="s">
        <v>54</v>
      </c>
      <c r="D331" t="s">
        <v>1</v>
      </c>
      <c r="E331" t="s">
        <v>115</v>
      </c>
      <c r="F331" t="s">
        <v>99</v>
      </c>
      <c r="G331" t="s">
        <v>100</v>
      </c>
      <c r="H331" t="s">
        <v>128</v>
      </c>
      <c r="I331" t="s">
        <v>100</v>
      </c>
      <c r="J331" t="s">
        <v>101</v>
      </c>
      <c r="K331" t="s">
        <v>559</v>
      </c>
      <c r="L331" t="s">
        <v>559</v>
      </c>
      <c r="M331" t="s">
        <v>100</v>
      </c>
      <c r="N331" t="s">
        <v>554</v>
      </c>
      <c r="O331" t="s">
        <v>100</v>
      </c>
      <c r="Q331" t="s">
        <v>554</v>
      </c>
      <c r="R331" t="s">
        <v>119</v>
      </c>
      <c r="S331" t="s">
        <v>130</v>
      </c>
      <c r="T331" t="s">
        <v>120</v>
      </c>
      <c r="U331" t="s">
        <v>101</v>
      </c>
      <c r="V331" t="s">
        <v>121</v>
      </c>
      <c r="W331" t="s">
        <v>122</v>
      </c>
      <c r="X331" t="s">
        <v>123</v>
      </c>
      <c r="Y331">
        <v>1</v>
      </c>
      <c r="Z331" t="s">
        <v>598</v>
      </c>
      <c r="AA331" s="280">
        <v>44865</v>
      </c>
      <c r="AB331" t="s">
        <v>114</v>
      </c>
      <c r="AC331" t="s">
        <v>124</v>
      </c>
      <c r="AD331" s="280">
        <v>45016</v>
      </c>
      <c r="AE331" t="s">
        <v>125</v>
      </c>
      <c r="AF331">
        <v>6</v>
      </c>
      <c r="AG331">
        <v>0</v>
      </c>
      <c r="AH331">
        <v>0</v>
      </c>
      <c r="AI331" t="s">
        <v>126</v>
      </c>
      <c r="AL331">
        <v>3.5863013698630137</v>
      </c>
      <c r="AM331">
        <v>0</v>
      </c>
      <c r="AN331">
        <v>3.5863013698630137</v>
      </c>
      <c r="AO331">
        <v>2.5863013698630137</v>
      </c>
      <c r="AP331" t="s">
        <v>1050</v>
      </c>
      <c r="AR331" t="s">
        <v>127</v>
      </c>
      <c r="AS331">
        <v>1697.4</v>
      </c>
      <c r="AX331">
        <v>1697.4</v>
      </c>
      <c r="AY331">
        <v>1014.5646575342466</v>
      </c>
      <c r="AZ331">
        <v>0</v>
      </c>
      <c r="BC331">
        <v>-682.83534246575346</v>
      </c>
      <c r="BE331" t="s">
        <v>114</v>
      </c>
      <c r="BH331">
        <v>-282.90000000000003</v>
      </c>
      <c r="BI331">
        <v>-23.575000000000003</v>
      </c>
      <c r="BK331" t="s">
        <v>116</v>
      </c>
      <c r="BL331">
        <v>0</v>
      </c>
      <c r="BM331">
        <v>-965.73534246575355</v>
      </c>
      <c r="BR331">
        <v>0</v>
      </c>
      <c r="BS331">
        <v>731.66465753424654</v>
      </c>
      <c r="BT331">
        <v>-682.83534246575346</v>
      </c>
      <c r="BZ331" t="s">
        <v>1001</v>
      </c>
      <c r="CE331">
        <v>0</v>
      </c>
    </row>
    <row r="332" spans="1:83">
      <c r="A332">
        <v>1634</v>
      </c>
      <c r="B332" t="s">
        <v>936</v>
      </c>
      <c r="C332" t="s">
        <v>54</v>
      </c>
      <c r="D332" t="s">
        <v>1</v>
      </c>
      <c r="E332" t="s">
        <v>115</v>
      </c>
      <c r="F332" t="s">
        <v>99</v>
      </c>
      <c r="G332" t="s">
        <v>100</v>
      </c>
      <c r="H332" t="s">
        <v>128</v>
      </c>
      <c r="I332" t="s">
        <v>100</v>
      </c>
      <c r="J332" t="s">
        <v>101</v>
      </c>
      <c r="K332" t="s">
        <v>559</v>
      </c>
      <c r="L332" t="s">
        <v>559</v>
      </c>
      <c r="M332" t="s">
        <v>100</v>
      </c>
      <c r="N332" t="s">
        <v>553</v>
      </c>
      <c r="O332" t="s">
        <v>100</v>
      </c>
      <c r="Q332" t="s">
        <v>553</v>
      </c>
      <c r="R332" t="s">
        <v>119</v>
      </c>
      <c r="S332" t="s">
        <v>130</v>
      </c>
      <c r="T332" t="s">
        <v>120</v>
      </c>
      <c r="U332" t="s">
        <v>101</v>
      </c>
      <c r="V332" t="s">
        <v>121</v>
      </c>
      <c r="W332" t="s">
        <v>122</v>
      </c>
      <c r="X332" t="s">
        <v>123</v>
      </c>
      <c r="Y332">
        <v>1</v>
      </c>
      <c r="Z332" t="s">
        <v>598</v>
      </c>
      <c r="AA332" s="280">
        <v>44865</v>
      </c>
      <c r="AB332" t="s">
        <v>114</v>
      </c>
      <c r="AC332" t="s">
        <v>124</v>
      </c>
      <c r="AD332" s="280">
        <v>45016</v>
      </c>
      <c r="AE332" t="s">
        <v>125</v>
      </c>
      <c r="AF332">
        <v>6</v>
      </c>
      <c r="AG332">
        <v>0</v>
      </c>
      <c r="AH332">
        <v>0</v>
      </c>
      <c r="AI332" t="s">
        <v>126</v>
      </c>
      <c r="AL332">
        <v>3.5863013698630137</v>
      </c>
      <c r="AM332">
        <v>0</v>
      </c>
      <c r="AN332">
        <v>3.5863013698630137</v>
      </c>
      <c r="AO332">
        <v>2.5863013698630137</v>
      </c>
      <c r="AP332" t="s">
        <v>1050</v>
      </c>
      <c r="AR332" t="s">
        <v>127</v>
      </c>
      <c r="AS332">
        <v>3206.2</v>
      </c>
      <c r="AX332">
        <v>3206.2</v>
      </c>
      <c r="AY332">
        <v>1916.399908675799</v>
      </c>
      <c r="AZ332">
        <v>0</v>
      </c>
      <c r="BC332">
        <v>-1289.8000913242008</v>
      </c>
      <c r="BE332" t="s">
        <v>114</v>
      </c>
      <c r="BH332">
        <v>-534.36666666666667</v>
      </c>
      <c r="BI332">
        <v>-44.530555555555559</v>
      </c>
      <c r="BK332" t="s">
        <v>116</v>
      </c>
      <c r="BL332">
        <v>0</v>
      </c>
      <c r="BM332">
        <v>-1824.1667579908676</v>
      </c>
      <c r="BR332">
        <v>0</v>
      </c>
      <c r="BS332">
        <v>1382.0332420091322</v>
      </c>
      <c r="BT332">
        <v>-1289.8000913242008</v>
      </c>
      <c r="BZ332" t="s">
        <v>1034</v>
      </c>
      <c r="CE332">
        <v>0</v>
      </c>
    </row>
    <row r="333" spans="1:83">
      <c r="A333">
        <v>1617</v>
      </c>
      <c r="B333" t="s">
        <v>877</v>
      </c>
      <c r="C333" t="s">
        <v>54</v>
      </c>
      <c r="D333" t="s">
        <v>1</v>
      </c>
      <c r="E333" t="s">
        <v>115</v>
      </c>
      <c r="F333" t="s">
        <v>99</v>
      </c>
      <c r="G333" t="s">
        <v>100</v>
      </c>
      <c r="H333" t="s">
        <v>128</v>
      </c>
      <c r="I333" t="s">
        <v>100</v>
      </c>
      <c r="J333" t="s">
        <v>101</v>
      </c>
      <c r="K333" t="s">
        <v>559</v>
      </c>
      <c r="L333" t="s">
        <v>559</v>
      </c>
      <c r="M333" t="s">
        <v>100</v>
      </c>
      <c r="N333" t="s">
        <v>553</v>
      </c>
      <c r="O333" t="s">
        <v>100</v>
      </c>
      <c r="Q333" t="s">
        <v>553</v>
      </c>
      <c r="R333" t="s">
        <v>119</v>
      </c>
      <c r="S333" t="s">
        <v>130</v>
      </c>
      <c r="T333" t="s">
        <v>120</v>
      </c>
      <c r="U333" t="s">
        <v>101</v>
      </c>
      <c r="V333" t="s">
        <v>121</v>
      </c>
      <c r="W333" t="s">
        <v>122</v>
      </c>
      <c r="X333" t="s">
        <v>123</v>
      </c>
      <c r="Y333">
        <v>1</v>
      </c>
      <c r="Z333" t="s">
        <v>598</v>
      </c>
      <c r="AA333" s="280">
        <v>44865</v>
      </c>
      <c r="AB333" t="s">
        <v>114</v>
      </c>
      <c r="AC333" t="s">
        <v>124</v>
      </c>
      <c r="AD333" s="280">
        <v>45016</v>
      </c>
      <c r="AE333" t="s">
        <v>125</v>
      </c>
      <c r="AF333">
        <v>6</v>
      </c>
      <c r="AG333">
        <v>0</v>
      </c>
      <c r="AH333">
        <v>0</v>
      </c>
      <c r="AI333" t="s">
        <v>126</v>
      </c>
      <c r="AL333">
        <v>3.5863013698630137</v>
      </c>
      <c r="AM333">
        <v>0</v>
      </c>
      <c r="AN333">
        <v>3.5863013698630137</v>
      </c>
      <c r="AO333">
        <v>2.5863013698630137</v>
      </c>
      <c r="AP333" t="s">
        <v>1050</v>
      </c>
      <c r="AR333" t="s">
        <v>127</v>
      </c>
      <c r="AS333">
        <v>3206.2</v>
      </c>
      <c r="AX333">
        <v>3206.2</v>
      </c>
      <c r="AY333">
        <v>1916.399908675799</v>
      </c>
      <c r="AZ333">
        <v>0</v>
      </c>
      <c r="BC333">
        <v>-1289.8000913242008</v>
      </c>
      <c r="BE333" t="s">
        <v>114</v>
      </c>
      <c r="BH333">
        <v>-534.36666666666667</v>
      </c>
      <c r="BI333">
        <v>-44.530555555555559</v>
      </c>
      <c r="BK333" t="s">
        <v>116</v>
      </c>
      <c r="BL333">
        <v>0</v>
      </c>
      <c r="BM333">
        <v>-1824.1667579908676</v>
      </c>
      <c r="BR333">
        <v>0</v>
      </c>
      <c r="BS333">
        <v>1382.0332420091322</v>
      </c>
      <c r="BT333">
        <v>-1289.8000913242008</v>
      </c>
      <c r="BZ333" t="s">
        <v>1041</v>
      </c>
      <c r="CE333">
        <v>0</v>
      </c>
    </row>
    <row r="334" spans="1:83">
      <c r="A334">
        <v>1616</v>
      </c>
      <c r="B334" t="s">
        <v>851</v>
      </c>
      <c r="C334" t="s">
        <v>54</v>
      </c>
      <c r="D334" t="s">
        <v>1</v>
      </c>
      <c r="E334" t="s">
        <v>115</v>
      </c>
      <c r="F334" t="s">
        <v>99</v>
      </c>
      <c r="G334" t="s">
        <v>100</v>
      </c>
      <c r="H334" t="s">
        <v>128</v>
      </c>
      <c r="I334" t="s">
        <v>100</v>
      </c>
      <c r="J334" t="s">
        <v>101</v>
      </c>
      <c r="K334" t="s">
        <v>559</v>
      </c>
      <c r="L334" t="s">
        <v>559</v>
      </c>
      <c r="M334" t="s">
        <v>100</v>
      </c>
      <c r="N334" t="s">
        <v>553</v>
      </c>
      <c r="O334" t="s">
        <v>100</v>
      </c>
      <c r="Q334" t="s">
        <v>553</v>
      </c>
      <c r="R334" t="s">
        <v>119</v>
      </c>
      <c r="S334" t="s">
        <v>130</v>
      </c>
      <c r="T334" t="s">
        <v>120</v>
      </c>
      <c r="U334" t="s">
        <v>101</v>
      </c>
      <c r="V334" t="s">
        <v>121</v>
      </c>
      <c r="W334" t="s">
        <v>122</v>
      </c>
      <c r="X334" t="s">
        <v>123</v>
      </c>
      <c r="Y334">
        <v>1</v>
      </c>
      <c r="Z334" t="s">
        <v>598</v>
      </c>
      <c r="AA334" s="280">
        <v>44865</v>
      </c>
      <c r="AB334" t="s">
        <v>114</v>
      </c>
      <c r="AC334" t="s">
        <v>124</v>
      </c>
      <c r="AD334" s="280">
        <v>45016</v>
      </c>
      <c r="AE334" t="s">
        <v>125</v>
      </c>
      <c r="AF334">
        <v>6</v>
      </c>
      <c r="AG334">
        <v>0</v>
      </c>
      <c r="AH334">
        <v>0</v>
      </c>
      <c r="AI334" t="s">
        <v>126</v>
      </c>
      <c r="AL334">
        <v>3.5863013698630137</v>
      </c>
      <c r="AM334">
        <v>0</v>
      </c>
      <c r="AN334">
        <v>3.5863013698630137</v>
      </c>
      <c r="AO334">
        <v>2.5863013698630137</v>
      </c>
      <c r="AP334" t="s">
        <v>1050</v>
      </c>
      <c r="AR334" t="s">
        <v>127</v>
      </c>
      <c r="AS334">
        <v>3206.2</v>
      </c>
      <c r="AX334">
        <v>3206.2</v>
      </c>
      <c r="AY334">
        <v>1916.399908675799</v>
      </c>
      <c r="AZ334">
        <v>0</v>
      </c>
      <c r="BC334">
        <v>-1289.8000913242008</v>
      </c>
      <c r="BE334" t="s">
        <v>114</v>
      </c>
      <c r="BH334">
        <v>-534.36666666666667</v>
      </c>
      <c r="BI334">
        <v>-44.530555555555559</v>
      </c>
      <c r="BK334" t="s">
        <v>116</v>
      </c>
      <c r="BL334">
        <v>0</v>
      </c>
      <c r="BM334">
        <v>-1824.1667579908676</v>
      </c>
      <c r="BR334">
        <v>0</v>
      </c>
      <c r="BS334">
        <v>1382.0332420091322</v>
      </c>
      <c r="BT334">
        <v>-1289.8000913242008</v>
      </c>
      <c r="BZ334" t="s">
        <v>966</v>
      </c>
      <c r="CE334">
        <v>0</v>
      </c>
    </row>
    <row r="335" spans="1:83">
      <c r="A335">
        <v>1615</v>
      </c>
      <c r="B335" t="s">
        <v>877</v>
      </c>
      <c r="C335" t="s">
        <v>54</v>
      </c>
      <c r="D335" t="s">
        <v>1</v>
      </c>
      <c r="E335" t="s">
        <v>115</v>
      </c>
      <c r="F335" t="s">
        <v>99</v>
      </c>
      <c r="G335" t="s">
        <v>100</v>
      </c>
      <c r="H335" t="s">
        <v>128</v>
      </c>
      <c r="I335" t="s">
        <v>100</v>
      </c>
      <c r="J335" t="s">
        <v>101</v>
      </c>
      <c r="K335" t="s">
        <v>559</v>
      </c>
      <c r="L335" t="s">
        <v>559</v>
      </c>
      <c r="M335" t="s">
        <v>100</v>
      </c>
      <c r="N335" t="s">
        <v>553</v>
      </c>
      <c r="O335" t="s">
        <v>100</v>
      </c>
      <c r="Q335" t="s">
        <v>553</v>
      </c>
      <c r="R335" t="s">
        <v>119</v>
      </c>
      <c r="S335" t="s">
        <v>130</v>
      </c>
      <c r="T335" t="s">
        <v>120</v>
      </c>
      <c r="U335" t="s">
        <v>101</v>
      </c>
      <c r="V335" t="s">
        <v>121</v>
      </c>
      <c r="W335" t="s">
        <v>122</v>
      </c>
      <c r="X335" t="s">
        <v>123</v>
      </c>
      <c r="Y335">
        <v>1</v>
      </c>
      <c r="Z335" t="s">
        <v>598</v>
      </c>
      <c r="AA335" s="280">
        <v>44865</v>
      </c>
      <c r="AB335" t="s">
        <v>114</v>
      </c>
      <c r="AC335" t="s">
        <v>124</v>
      </c>
      <c r="AD335" s="280">
        <v>45016</v>
      </c>
      <c r="AE335" t="s">
        <v>125</v>
      </c>
      <c r="AF335">
        <v>6</v>
      </c>
      <c r="AG335">
        <v>0</v>
      </c>
      <c r="AH335">
        <v>0</v>
      </c>
      <c r="AI335" t="s">
        <v>126</v>
      </c>
      <c r="AL335">
        <v>3.5863013698630137</v>
      </c>
      <c r="AM335">
        <v>0</v>
      </c>
      <c r="AN335">
        <v>3.5863013698630137</v>
      </c>
      <c r="AO335">
        <v>2.5863013698630137</v>
      </c>
      <c r="AP335" t="s">
        <v>1050</v>
      </c>
      <c r="AR335" t="s">
        <v>127</v>
      </c>
      <c r="AS335">
        <v>3206.2</v>
      </c>
      <c r="AX335">
        <v>3206.2</v>
      </c>
      <c r="AY335">
        <v>1916.399908675799</v>
      </c>
      <c r="AZ335">
        <v>0</v>
      </c>
      <c r="BC335">
        <v>-1289.8000913242008</v>
      </c>
      <c r="BE335" t="s">
        <v>114</v>
      </c>
      <c r="BH335">
        <v>-534.36666666666667</v>
      </c>
      <c r="BI335">
        <v>-44.530555555555559</v>
      </c>
      <c r="BK335" t="s">
        <v>116</v>
      </c>
      <c r="BL335">
        <v>0</v>
      </c>
      <c r="BM335">
        <v>-1824.1667579908676</v>
      </c>
      <c r="BR335">
        <v>0</v>
      </c>
      <c r="BS335">
        <v>1382.0332420091322</v>
      </c>
      <c r="BT335">
        <v>-1289.8000913242008</v>
      </c>
      <c r="BZ335" t="s">
        <v>1040</v>
      </c>
      <c r="CE335">
        <v>0</v>
      </c>
    </row>
    <row r="336" spans="1:83">
      <c r="A336">
        <v>1614</v>
      </c>
      <c r="B336" t="s">
        <v>867</v>
      </c>
      <c r="C336" t="s">
        <v>54</v>
      </c>
      <c r="D336" t="s">
        <v>1</v>
      </c>
      <c r="E336" t="s">
        <v>115</v>
      </c>
      <c r="F336" t="s">
        <v>99</v>
      </c>
      <c r="G336" t="s">
        <v>100</v>
      </c>
      <c r="H336" t="s">
        <v>128</v>
      </c>
      <c r="I336" t="s">
        <v>100</v>
      </c>
      <c r="J336" t="s">
        <v>101</v>
      </c>
      <c r="K336" t="s">
        <v>559</v>
      </c>
      <c r="L336" t="s">
        <v>559</v>
      </c>
      <c r="M336" t="s">
        <v>100</v>
      </c>
      <c r="N336" t="s">
        <v>553</v>
      </c>
      <c r="O336" t="s">
        <v>100</v>
      </c>
      <c r="Q336" t="s">
        <v>553</v>
      </c>
      <c r="R336" t="s">
        <v>119</v>
      </c>
      <c r="S336" t="s">
        <v>130</v>
      </c>
      <c r="T336" t="s">
        <v>120</v>
      </c>
      <c r="U336" t="s">
        <v>101</v>
      </c>
      <c r="V336" t="s">
        <v>121</v>
      </c>
      <c r="W336" t="s">
        <v>122</v>
      </c>
      <c r="X336" t="s">
        <v>123</v>
      </c>
      <c r="Y336">
        <v>1</v>
      </c>
      <c r="Z336" t="s">
        <v>598</v>
      </c>
      <c r="AA336" s="280">
        <v>44865</v>
      </c>
      <c r="AB336" t="s">
        <v>114</v>
      </c>
      <c r="AC336" t="s">
        <v>124</v>
      </c>
      <c r="AD336" s="280">
        <v>45016</v>
      </c>
      <c r="AE336" t="s">
        <v>125</v>
      </c>
      <c r="AF336">
        <v>6</v>
      </c>
      <c r="AG336">
        <v>0</v>
      </c>
      <c r="AH336">
        <v>0</v>
      </c>
      <c r="AI336" t="s">
        <v>126</v>
      </c>
      <c r="AL336">
        <v>3.5863013698630137</v>
      </c>
      <c r="AM336">
        <v>0</v>
      </c>
      <c r="AN336">
        <v>3.5863013698630137</v>
      </c>
      <c r="AO336">
        <v>2.5863013698630137</v>
      </c>
      <c r="AP336" t="s">
        <v>1050</v>
      </c>
      <c r="AR336" t="s">
        <v>127</v>
      </c>
      <c r="AS336">
        <v>3206.2</v>
      </c>
      <c r="AX336">
        <v>3206.2</v>
      </c>
      <c r="AY336">
        <v>1916.399908675799</v>
      </c>
      <c r="AZ336">
        <v>0</v>
      </c>
      <c r="BC336">
        <v>-1289.8000913242008</v>
      </c>
      <c r="BE336" t="s">
        <v>114</v>
      </c>
      <c r="BH336">
        <v>-534.36666666666667</v>
      </c>
      <c r="BI336">
        <v>-44.530555555555559</v>
      </c>
      <c r="BK336" t="s">
        <v>116</v>
      </c>
      <c r="BL336">
        <v>0</v>
      </c>
      <c r="BM336">
        <v>-1824.1667579908676</v>
      </c>
      <c r="BR336">
        <v>0</v>
      </c>
      <c r="BS336">
        <v>1382.0332420091322</v>
      </c>
      <c r="BT336">
        <v>-1289.8000913242008</v>
      </c>
      <c r="BZ336" t="s">
        <v>1039</v>
      </c>
      <c r="CE336">
        <v>0</v>
      </c>
    </row>
    <row r="337" spans="1:83">
      <c r="A337">
        <v>1613</v>
      </c>
      <c r="B337" t="s">
        <v>868</v>
      </c>
      <c r="C337" t="s">
        <v>54</v>
      </c>
      <c r="D337" t="s">
        <v>1</v>
      </c>
      <c r="E337" t="s">
        <v>115</v>
      </c>
      <c r="F337" t="s">
        <v>99</v>
      </c>
      <c r="G337" t="s">
        <v>100</v>
      </c>
      <c r="H337" t="s">
        <v>128</v>
      </c>
      <c r="I337" t="s">
        <v>100</v>
      </c>
      <c r="J337" t="s">
        <v>101</v>
      </c>
      <c r="K337" t="s">
        <v>559</v>
      </c>
      <c r="L337" t="s">
        <v>559</v>
      </c>
      <c r="M337" t="s">
        <v>100</v>
      </c>
      <c r="N337" t="s">
        <v>553</v>
      </c>
      <c r="O337" t="s">
        <v>100</v>
      </c>
      <c r="Q337" t="s">
        <v>553</v>
      </c>
      <c r="R337" t="s">
        <v>119</v>
      </c>
      <c r="S337" t="s">
        <v>130</v>
      </c>
      <c r="T337" t="s">
        <v>120</v>
      </c>
      <c r="U337" t="s">
        <v>101</v>
      </c>
      <c r="V337" t="s">
        <v>121</v>
      </c>
      <c r="W337" t="s">
        <v>122</v>
      </c>
      <c r="X337" t="s">
        <v>123</v>
      </c>
      <c r="Y337">
        <v>1</v>
      </c>
      <c r="Z337" t="s">
        <v>598</v>
      </c>
      <c r="AA337" s="280">
        <v>44865</v>
      </c>
      <c r="AB337" t="s">
        <v>114</v>
      </c>
      <c r="AC337" t="s">
        <v>124</v>
      </c>
      <c r="AD337" s="280">
        <v>45016</v>
      </c>
      <c r="AE337" t="s">
        <v>125</v>
      </c>
      <c r="AF337">
        <v>6</v>
      </c>
      <c r="AG337">
        <v>0</v>
      </c>
      <c r="AH337">
        <v>0</v>
      </c>
      <c r="AI337" t="s">
        <v>126</v>
      </c>
      <c r="AL337">
        <v>3.5863013698630137</v>
      </c>
      <c r="AM337">
        <v>0</v>
      </c>
      <c r="AN337">
        <v>3.5863013698630137</v>
      </c>
      <c r="AO337">
        <v>2.5863013698630137</v>
      </c>
      <c r="AP337" t="s">
        <v>1050</v>
      </c>
      <c r="AR337" t="s">
        <v>127</v>
      </c>
      <c r="AS337">
        <v>3206.2</v>
      </c>
      <c r="AX337">
        <v>3206.2</v>
      </c>
      <c r="AY337">
        <v>1916.399908675799</v>
      </c>
      <c r="AZ337">
        <v>0</v>
      </c>
      <c r="BC337">
        <v>-1289.8000913242008</v>
      </c>
      <c r="BE337" t="s">
        <v>114</v>
      </c>
      <c r="BH337">
        <v>-534.36666666666667</v>
      </c>
      <c r="BI337">
        <v>-44.530555555555559</v>
      </c>
      <c r="BK337" t="s">
        <v>116</v>
      </c>
      <c r="BL337">
        <v>0</v>
      </c>
      <c r="BM337">
        <v>-1824.1667579908676</v>
      </c>
      <c r="BR337">
        <v>0</v>
      </c>
      <c r="BS337">
        <v>1382.0332420091322</v>
      </c>
      <c r="BT337">
        <v>-1289.8000913242008</v>
      </c>
      <c r="BZ337" t="s">
        <v>992</v>
      </c>
      <c r="CE337">
        <v>0</v>
      </c>
    </row>
    <row r="338" spans="1:83">
      <c r="A338">
        <v>1612</v>
      </c>
      <c r="B338" t="s">
        <v>910</v>
      </c>
      <c r="C338" t="s">
        <v>54</v>
      </c>
      <c r="D338" t="s">
        <v>1</v>
      </c>
      <c r="E338" t="s">
        <v>115</v>
      </c>
      <c r="F338" t="s">
        <v>99</v>
      </c>
      <c r="G338" t="s">
        <v>100</v>
      </c>
      <c r="H338" t="s">
        <v>128</v>
      </c>
      <c r="I338" t="s">
        <v>100</v>
      </c>
      <c r="J338" t="s">
        <v>101</v>
      </c>
      <c r="K338" t="s">
        <v>559</v>
      </c>
      <c r="L338" t="s">
        <v>559</v>
      </c>
      <c r="M338" t="s">
        <v>100</v>
      </c>
      <c r="N338" t="s">
        <v>553</v>
      </c>
      <c r="O338" t="s">
        <v>100</v>
      </c>
      <c r="Q338" t="s">
        <v>553</v>
      </c>
      <c r="R338" t="s">
        <v>119</v>
      </c>
      <c r="S338" t="s">
        <v>130</v>
      </c>
      <c r="T338" t="s">
        <v>120</v>
      </c>
      <c r="U338" t="s">
        <v>101</v>
      </c>
      <c r="V338" t="s">
        <v>121</v>
      </c>
      <c r="W338" t="s">
        <v>122</v>
      </c>
      <c r="X338" t="s">
        <v>123</v>
      </c>
      <c r="Y338">
        <v>1</v>
      </c>
      <c r="Z338" t="s">
        <v>598</v>
      </c>
      <c r="AA338" s="280">
        <v>44865</v>
      </c>
      <c r="AB338" t="s">
        <v>114</v>
      </c>
      <c r="AC338" t="s">
        <v>124</v>
      </c>
      <c r="AD338" s="280">
        <v>45016</v>
      </c>
      <c r="AE338" t="s">
        <v>125</v>
      </c>
      <c r="AF338">
        <v>6</v>
      </c>
      <c r="AG338">
        <v>0</v>
      </c>
      <c r="AH338">
        <v>0</v>
      </c>
      <c r="AI338" t="s">
        <v>126</v>
      </c>
      <c r="AL338">
        <v>3.5863013698630137</v>
      </c>
      <c r="AM338">
        <v>0</v>
      </c>
      <c r="AN338">
        <v>3.5863013698630137</v>
      </c>
      <c r="AO338">
        <v>2.5863013698630137</v>
      </c>
      <c r="AP338" t="s">
        <v>1050</v>
      </c>
      <c r="AR338" t="s">
        <v>127</v>
      </c>
      <c r="AS338">
        <v>3206.2</v>
      </c>
      <c r="AX338">
        <v>3206.2</v>
      </c>
      <c r="AY338">
        <v>1916.399908675799</v>
      </c>
      <c r="AZ338">
        <v>0</v>
      </c>
      <c r="BC338">
        <v>-1289.8000913242008</v>
      </c>
      <c r="BE338" t="s">
        <v>114</v>
      </c>
      <c r="BH338">
        <v>-534.36666666666667</v>
      </c>
      <c r="BI338">
        <v>-44.530555555555559</v>
      </c>
      <c r="BK338" t="s">
        <v>116</v>
      </c>
      <c r="BL338">
        <v>0</v>
      </c>
      <c r="BM338">
        <v>-1824.1667579908676</v>
      </c>
      <c r="BR338">
        <v>0</v>
      </c>
      <c r="BS338">
        <v>1382.0332420091322</v>
      </c>
      <c r="BT338">
        <v>-1289.8000913242008</v>
      </c>
      <c r="BZ338" t="s">
        <v>953</v>
      </c>
      <c r="CE338">
        <v>0</v>
      </c>
    </row>
    <row r="339" spans="1:83">
      <c r="A339">
        <v>1611</v>
      </c>
      <c r="B339" t="s">
        <v>867</v>
      </c>
      <c r="C339" t="s">
        <v>54</v>
      </c>
      <c r="D339" t="s">
        <v>1</v>
      </c>
      <c r="E339" t="s">
        <v>115</v>
      </c>
      <c r="F339" t="s">
        <v>99</v>
      </c>
      <c r="G339" t="s">
        <v>100</v>
      </c>
      <c r="H339" t="s">
        <v>128</v>
      </c>
      <c r="I339" t="s">
        <v>100</v>
      </c>
      <c r="J339" t="s">
        <v>101</v>
      </c>
      <c r="K339" t="s">
        <v>559</v>
      </c>
      <c r="L339" t="s">
        <v>559</v>
      </c>
      <c r="M339" t="s">
        <v>100</v>
      </c>
      <c r="N339" t="s">
        <v>553</v>
      </c>
      <c r="O339" t="s">
        <v>100</v>
      </c>
      <c r="Q339" t="s">
        <v>553</v>
      </c>
      <c r="R339" t="s">
        <v>119</v>
      </c>
      <c r="S339" t="s">
        <v>130</v>
      </c>
      <c r="T339" t="s">
        <v>120</v>
      </c>
      <c r="U339" t="s">
        <v>101</v>
      </c>
      <c r="V339" t="s">
        <v>121</v>
      </c>
      <c r="W339" t="s">
        <v>122</v>
      </c>
      <c r="X339" t="s">
        <v>123</v>
      </c>
      <c r="Y339">
        <v>1</v>
      </c>
      <c r="Z339" t="s">
        <v>598</v>
      </c>
      <c r="AA339" s="280">
        <v>44865</v>
      </c>
      <c r="AB339" t="s">
        <v>114</v>
      </c>
      <c r="AC339" t="s">
        <v>124</v>
      </c>
      <c r="AD339" s="280">
        <v>45016</v>
      </c>
      <c r="AE339" t="s">
        <v>125</v>
      </c>
      <c r="AF339">
        <v>6</v>
      </c>
      <c r="AG339">
        <v>0</v>
      </c>
      <c r="AH339">
        <v>0</v>
      </c>
      <c r="AI339" t="s">
        <v>126</v>
      </c>
      <c r="AL339">
        <v>3.5863013698630137</v>
      </c>
      <c r="AM339">
        <v>0</v>
      </c>
      <c r="AN339">
        <v>3.5863013698630137</v>
      </c>
      <c r="AO339">
        <v>2.5863013698630137</v>
      </c>
      <c r="AP339" t="s">
        <v>1050</v>
      </c>
      <c r="AR339" t="s">
        <v>127</v>
      </c>
      <c r="AS339">
        <v>3206.2</v>
      </c>
      <c r="AX339">
        <v>3206.2</v>
      </c>
      <c r="AY339">
        <v>1916.399908675799</v>
      </c>
      <c r="AZ339">
        <v>0</v>
      </c>
      <c r="BC339">
        <v>-1289.8000913242008</v>
      </c>
      <c r="BE339" t="s">
        <v>114</v>
      </c>
      <c r="BH339">
        <v>-534.36666666666667</v>
      </c>
      <c r="BI339">
        <v>-44.530555555555559</v>
      </c>
      <c r="BK339" t="s">
        <v>116</v>
      </c>
      <c r="BL339">
        <v>0</v>
      </c>
      <c r="BM339">
        <v>-1824.1667579908676</v>
      </c>
      <c r="BR339">
        <v>0</v>
      </c>
      <c r="BS339">
        <v>1382.0332420091322</v>
      </c>
      <c r="BT339">
        <v>-1289.8000913242008</v>
      </c>
      <c r="BZ339" t="s">
        <v>1005</v>
      </c>
      <c r="CE339">
        <v>0</v>
      </c>
    </row>
    <row r="340" spans="1:83">
      <c r="A340">
        <v>1610</v>
      </c>
      <c r="B340" t="s">
        <v>868</v>
      </c>
      <c r="C340" t="s">
        <v>54</v>
      </c>
      <c r="D340" t="s">
        <v>1</v>
      </c>
      <c r="E340" t="s">
        <v>115</v>
      </c>
      <c r="F340" t="s">
        <v>99</v>
      </c>
      <c r="G340" t="s">
        <v>100</v>
      </c>
      <c r="H340" t="s">
        <v>128</v>
      </c>
      <c r="I340" t="s">
        <v>100</v>
      </c>
      <c r="J340" t="s">
        <v>101</v>
      </c>
      <c r="K340" t="s">
        <v>559</v>
      </c>
      <c r="L340" t="s">
        <v>559</v>
      </c>
      <c r="M340" t="s">
        <v>100</v>
      </c>
      <c r="N340" t="s">
        <v>553</v>
      </c>
      <c r="O340" t="s">
        <v>100</v>
      </c>
      <c r="Q340" t="s">
        <v>553</v>
      </c>
      <c r="R340" t="s">
        <v>119</v>
      </c>
      <c r="S340" t="s">
        <v>130</v>
      </c>
      <c r="T340" t="s">
        <v>120</v>
      </c>
      <c r="U340" t="s">
        <v>101</v>
      </c>
      <c r="V340" t="s">
        <v>121</v>
      </c>
      <c r="W340" t="s">
        <v>122</v>
      </c>
      <c r="X340" t="s">
        <v>123</v>
      </c>
      <c r="Y340">
        <v>1</v>
      </c>
      <c r="Z340" t="s">
        <v>598</v>
      </c>
      <c r="AA340" s="280">
        <v>44865</v>
      </c>
      <c r="AB340" t="s">
        <v>114</v>
      </c>
      <c r="AC340" t="s">
        <v>124</v>
      </c>
      <c r="AD340" s="280">
        <v>45016</v>
      </c>
      <c r="AE340" t="s">
        <v>125</v>
      </c>
      <c r="AF340">
        <v>6</v>
      </c>
      <c r="AG340">
        <v>0</v>
      </c>
      <c r="AH340">
        <v>0</v>
      </c>
      <c r="AI340" t="s">
        <v>126</v>
      </c>
      <c r="AL340">
        <v>3.5863013698630137</v>
      </c>
      <c r="AM340">
        <v>0</v>
      </c>
      <c r="AN340">
        <v>3.5863013698630137</v>
      </c>
      <c r="AO340">
        <v>2.5863013698630137</v>
      </c>
      <c r="AP340" t="s">
        <v>1050</v>
      </c>
      <c r="AR340" t="s">
        <v>127</v>
      </c>
      <c r="AS340">
        <v>3206.2</v>
      </c>
      <c r="AX340">
        <v>3206.2</v>
      </c>
      <c r="AY340">
        <v>1916.399908675799</v>
      </c>
      <c r="AZ340">
        <v>0</v>
      </c>
      <c r="BC340">
        <v>-1289.8000913242008</v>
      </c>
      <c r="BE340" t="s">
        <v>114</v>
      </c>
      <c r="BH340">
        <v>-534.36666666666667</v>
      </c>
      <c r="BI340">
        <v>-44.530555555555559</v>
      </c>
      <c r="BK340" t="s">
        <v>116</v>
      </c>
      <c r="BL340">
        <v>0</v>
      </c>
      <c r="BM340">
        <v>-1824.1667579908676</v>
      </c>
      <c r="BR340">
        <v>0</v>
      </c>
      <c r="BS340">
        <v>1382.0332420091322</v>
      </c>
      <c r="BT340">
        <v>-1289.8000913242008</v>
      </c>
      <c r="BZ340" t="s">
        <v>1006</v>
      </c>
      <c r="CE340">
        <v>0</v>
      </c>
    </row>
    <row r="341" spans="1:83">
      <c r="A341">
        <v>1609</v>
      </c>
      <c r="B341" t="s">
        <v>867</v>
      </c>
      <c r="C341" t="s">
        <v>54</v>
      </c>
      <c r="D341" t="s">
        <v>1</v>
      </c>
      <c r="E341" t="s">
        <v>115</v>
      </c>
      <c r="F341" t="s">
        <v>99</v>
      </c>
      <c r="G341" t="s">
        <v>100</v>
      </c>
      <c r="H341" t="s">
        <v>128</v>
      </c>
      <c r="I341" t="s">
        <v>100</v>
      </c>
      <c r="J341" t="s">
        <v>101</v>
      </c>
      <c r="K341" t="s">
        <v>559</v>
      </c>
      <c r="L341" t="s">
        <v>559</v>
      </c>
      <c r="M341" t="s">
        <v>100</v>
      </c>
      <c r="N341" t="s">
        <v>553</v>
      </c>
      <c r="O341" t="s">
        <v>100</v>
      </c>
      <c r="Q341" t="s">
        <v>553</v>
      </c>
      <c r="R341" t="s">
        <v>119</v>
      </c>
      <c r="S341" t="s">
        <v>130</v>
      </c>
      <c r="T341" t="s">
        <v>120</v>
      </c>
      <c r="U341" t="s">
        <v>101</v>
      </c>
      <c r="V341" t="s">
        <v>121</v>
      </c>
      <c r="W341" t="s">
        <v>122</v>
      </c>
      <c r="X341" t="s">
        <v>123</v>
      </c>
      <c r="Y341">
        <v>1</v>
      </c>
      <c r="Z341" t="s">
        <v>598</v>
      </c>
      <c r="AA341" s="280">
        <v>44865</v>
      </c>
      <c r="AB341" t="s">
        <v>114</v>
      </c>
      <c r="AC341" t="s">
        <v>124</v>
      </c>
      <c r="AD341" s="280">
        <v>45016</v>
      </c>
      <c r="AE341" t="s">
        <v>125</v>
      </c>
      <c r="AF341">
        <v>6</v>
      </c>
      <c r="AG341">
        <v>0</v>
      </c>
      <c r="AH341">
        <v>0</v>
      </c>
      <c r="AI341" t="s">
        <v>126</v>
      </c>
      <c r="AL341">
        <v>3.5863013698630137</v>
      </c>
      <c r="AM341">
        <v>0</v>
      </c>
      <c r="AN341">
        <v>3.5863013698630137</v>
      </c>
      <c r="AO341">
        <v>2.5863013698630137</v>
      </c>
      <c r="AP341" t="s">
        <v>1050</v>
      </c>
      <c r="AR341" t="s">
        <v>127</v>
      </c>
      <c r="AS341">
        <v>3206.2</v>
      </c>
      <c r="AX341">
        <v>3206.2</v>
      </c>
      <c r="AY341">
        <v>1916.399908675799</v>
      </c>
      <c r="AZ341">
        <v>0</v>
      </c>
      <c r="BC341">
        <v>-1289.8000913242008</v>
      </c>
      <c r="BE341" t="s">
        <v>114</v>
      </c>
      <c r="BH341">
        <v>-534.36666666666667</v>
      </c>
      <c r="BI341">
        <v>-44.530555555555559</v>
      </c>
      <c r="BK341" t="s">
        <v>116</v>
      </c>
      <c r="BL341">
        <v>0</v>
      </c>
      <c r="BM341">
        <v>-1824.1667579908676</v>
      </c>
      <c r="BR341">
        <v>0</v>
      </c>
      <c r="BS341">
        <v>1382.0332420091322</v>
      </c>
      <c r="BT341">
        <v>-1289.8000913242008</v>
      </c>
      <c r="BZ341" t="s">
        <v>1037</v>
      </c>
      <c r="CE341">
        <v>0</v>
      </c>
    </row>
    <row r="342" spans="1:83">
      <c r="A342">
        <v>1608</v>
      </c>
      <c r="B342" t="s">
        <v>875</v>
      </c>
      <c r="C342" t="s">
        <v>54</v>
      </c>
      <c r="D342" t="s">
        <v>1</v>
      </c>
      <c r="E342" t="s">
        <v>115</v>
      </c>
      <c r="F342" t="s">
        <v>99</v>
      </c>
      <c r="G342" t="s">
        <v>100</v>
      </c>
      <c r="H342" t="s">
        <v>128</v>
      </c>
      <c r="I342" t="s">
        <v>100</v>
      </c>
      <c r="J342" t="s">
        <v>101</v>
      </c>
      <c r="K342" t="s">
        <v>559</v>
      </c>
      <c r="L342" t="s">
        <v>559</v>
      </c>
      <c r="M342" t="s">
        <v>100</v>
      </c>
      <c r="N342" t="s">
        <v>553</v>
      </c>
      <c r="O342" t="s">
        <v>100</v>
      </c>
      <c r="Q342" t="s">
        <v>553</v>
      </c>
      <c r="R342" t="s">
        <v>119</v>
      </c>
      <c r="S342" t="s">
        <v>130</v>
      </c>
      <c r="T342" t="s">
        <v>120</v>
      </c>
      <c r="U342" t="s">
        <v>101</v>
      </c>
      <c r="V342" t="s">
        <v>121</v>
      </c>
      <c r="W342" t="s">
        <v>122</v>
      </c>
      <c r="X342" t="s">
        <v>123</v>
      </c>
      <c r="Y342">
        <v>1</v>
      </c>
      <c r="Z342" t="s">
        <v>598</v>
      </c>
      <c r="AA342" s="280">
        <v>44865</v>
      </c>
      <c r="AB342" t="s">
        <v>114</v>
      </c>
      <c r="AC342" t="s">
        <v>124</v>
      </c>
      <c r="AD342" s="280">
        <v>45016</v>
      </c>
      <c r="AE342" t="s">
        <v>125</v>
      </c>
      <c r="AF342">
        <v>6</v>
      </c>
      <c r="AG342">
        <v>0</v>
      </c>
      <c r="AH342">
        <v>0</v>
      </c>
      <c r="AI342" t="s">
        <v>126</v>
      </c>
      <c r="AL342">
        <v>3.5863013698630137</v>
      </c>
      <c r="AM342">
        <v>0</v>
      </c>
      <c r="AN342">
        <v>3.5863013698630137</v>
      </c>
      <c r="AO342">
        <v>2.5863013698630137</v>
      </c>
      <c r="AP342" t="s">
        <v>1050</v>
      </c>
      <c r="AR342" t="s">
        <v>127</v>
      </c>
      <c r="AS342">
        <v>3206.2</v>
      </c>
      <c r="AX342">
        <v>3206.2</v>
      </c>
      <c r="AY342">
        <v>1916.399908675799</v>
      </c>
      <c r="AZ342">
        <v>0</v>
      </c>
      <c r="BC342">
        <v>-1289.8000913242008</v>
      </c>
      <c r="BE342" t="s">
        <v>114</v>
      </c>
      <c r="BH342">
        <v>-534.36666666666667</v>
      </c>
      <c r="BI342">
        <v>-44.530555555555559</v>
      </c>
      <c r="BK342" t="s">
        <v>116</v>
      </c>
      <c r="BL342">
        <v>0</v>
      </c>
      <c r="BM342">
        <v>-1824.1667579908676</v>
      </c>
      <c r="BR342">
        <v>0</v>
      </c>
      <c r="BS342">
        <v>1382.0332420091322</v>
      </c>
      <c r="BT342">
        <v>-1289.8000913242008</v>
      </c>
      <c r="BZ342" t="s">
        <v>965</v>
      </c>
      <c r="CE342">
        <v>0</v>
      </c>
    </row>
    <row r="343" spans="1:83">
      <c r="A343">
        <v>1607</v>
      </c>
      <c r="B343" t="s">
        <v>867</v>
      </c>
      <c r="C343" t="s">
        <v>54</v>
      </c>
      <c r="D343" t="s">
        <v>1</v>
      </c>
      <c r="E343" t="s">
        <v>115</v>
      </c>
      <c r="F343" t="s">
        <v>99</v>
      </c>
      <c r="G343" t="s">
        <v>100</v>
      </c>
      <c r="H343" t="s">
        <v>128</v>
      </c>
      <c r="I343" t="s">
        <v>100</v>
      </c>
      <c r="J343" t="s">
        <v>101</v>
      </c>
      <c r="K343" t="s">
        <v>559</v>
      </c>
      <c r="L343" t="s">
        <v>559</v>
      </c>
      <c r="M343" t="s">
        <v>100</v>
      </c>
      <c r="N343" t="s">
        <v>553</v>
      </c>
      <c r="O343" t="s">
        <v>100</v>
      </c>
      <c r="Q343" t="s">
        <v>553</v>
      </c>
      <c r="R343" t="s">
        <v>119</v>
      </c>
      <c r="S343" t="s">
        <v>130</v>
      </c>
      <c r="T343" t="s">
        <v>120</v>
      </c>
      <c r="U343" t="s">
        <v>101</v>
      </c>
      <c r="V343" t="s">
        <v>121</v>
      </c>
      <c r="W343" t="s">
        <v>122</v>
      </c>
      <c r="X343" t="s">
        <v>123</v>
      </c>
      <c r="Y343">
        <v>1</v>
      </c>
      <c r="Z343" t="s">
        <v>598</v>
      </c>
      <c r="AA343" s="280">
        <v>44865</v>
      </c>
      <c r="AB343" t="s">
        <v>114</v>
      </c>
      <c r="AC343" t="s">
        <v>124</v>
      </c>
      <c r="AD343" s="280">
        <v>45016</v>
      </c>
      <c r="AE343" t="s">
        <v>125</v>
      </c>
      <c r="AF343">
        <v>6</v>
      </c>
      <c r="AG343">
        <v>0</v>
      </c>
      <c r="AH343">
        <v>0</v>
      </c>
      <c r="AI343" t="s">
        <v>126</v>
      </c>
      <c r="AL343">
        <v>3.5863013698630137</v>
      </c>
      <c r="AM343">
        <v>0</v>
      </c>
      <c r="AN343">
        <v>3.5863013698630137</v>
      </c>
      <c r="AO343">
        <v>2.5863013698630137</v>
      </c>
      <c r="AP343" t="s">
        <v>1050</v>
      </c>
      <c r="AR343" t="s">
        <v>127</v>
      </c>
      <c r="AS343">
        <v>3206.2</v>
      </c>
      <c r="AX343">
        <v>3206.2</v>
      </c>
      <c r="AY343">
        <v>1916.399908675799</v>
      </c>
      <c r="AZ343">
        <v>0</v>
      </c>
      <c r="BC343">
        <v>-1289.8000913242008</v>
      </c>
      <c r="BE343" t="s">
        <v>114</v>
      </c>
      <c r="BH343">
        <v>-534.36666666666667</v>
      </c>
      <c r="BI343">
        <v>-44.530555555555559</v>
      </c>
      <c r="BK343" t="s">
        <v>116</v>
      </c>
      <c r="BL343">
        <v>0</v>
      </c>
      <c r="BM343">
        <v>-1824.1667579908676</v>
      </c>
      <c r="BR343">
        <v>0</v>
      </c>
      <c r="BS343">
        <v>1382.0332420091322</v>
      </c>
      <c r="BT343">
        <v>-1289.8000913242008</v>
      </c>
      <c r="BZ343" t="s">
        <v>1026</v>
      </c>
      <c r="CE343">
        <v>0</v>
      </c>
    </row>
    <row r="344" spans="1:83">
      <c r="A344">
        <v>1606</v>
      </c>
      <c r="B344" t="s">
        <v>886</v>
      </c>
      <c r="C344" t="s">
        <v>54</v>
      </c>
      <c r="D344" t="s">
        <v>1</v>
      </c>
      <c r="E344" t="s">
        <v>115</v>
      </c>
      <c r="F344" t="s">
        <v>99</v>
      </c>
      <c r="G344" t="s">
        <v>100</v>
      </c>
      <c r="H344" t="s">
        <v>128</v>
      </c>
      <c r="I344" t="s">
        <v>100</v>
      </c>
      <c r="J344" t="s">
        <v>101</v>
      </c>
      <c r="K344" t="s">
        <v>559</v>
      </c>
      <c r="L344" t="s">
        <v>559</v>
      </c>
      <c r="M344" t="s">
        <v>100</v>
      </c>
      <c r="N344" t="s">
        <v>553</v>
      </c>
      <c r="O344" t="s">
        <v>100</v>
      </c>
      <c r="Q344" t="s">
        <v>553</v>
      </c>
      <c r="R344" t="s">
        <v>119</v>
      </c>
      <c r="S344" t="s">
        <v>130</v>
      </c>
      <c r="T344" t="s">
        <v>120</v>
      </c>
      <c r="U344" t="s">
        <v>101</v>
      </c>
      <c r="V344" t="s">
        <v>121</v>
      </c>
      <c r="W344" t="s">
        <v>122</v>
      </c>
      <c r="X344" t="s">
        <v>123</v>
      </c>
      <c r="Y344">
        <v>1</v>
      </c>
      <c r="Z344" t="s">
        <v>598</v>
      </c>
      <c r="AA344" s="280">
        <v>44865</v>
      </c>
      <c r="AB344" t="s">
        <v>114</v>
      </c>
      <c r="AC344" t="s">
        <v>124</v>
      </c>
      <c r="AD344" s="280">
        <v>45016</v>
      </c>
      <c r="AE344" t="s">
        <v>125</v>
      </c>
      <c r="AF344">
        <v>6</v>
      </c>
      <c r="AG344">
        <v>0</v>
      </c>
      <c r="AH344">
        <v>0</v>
      </c>
      <c r="AI344" t="s">
        <v>126</v>
      </c>
      <c r="AL344">
        <v>3.5863013698630137</v>
      </c>
      <c r="AM344">
        <v>0</v>
      </c>
      <c r="AN344">
        <v>3.5863013698630137</v>
      </c>
      <c r="AO344">
        <v>2.5863013698630137</v>
      </c>
      <c r="AP344" t="s">
        <v>1050</v>
      </c>
      <c r="AR344" t="s">
        <v>127</v>
      </c>
      <c r="AS344">
        <v>3206.2</v>
      </c>
      <c r="AX344">
        <v>3206.2</v>
      </c>
      <c r="AY344">
        <v>1916.399908675799</v>
      </c>
      <c r="AZ344">
        <v>0</v>
      </c>
      <c r="BC344">
        <v>-1289.8000913242008</v>
      </c>
      <c r="BE344" t="s">
        <v>114</v>
      </c>
      <c r="BH344">
        <v>-534.36666666666667</v>
      </c>
      <c r="BI344">
        <v>-44.530555555555559</v>
      </c>
      <c r="BK344" t="s">
        <v>116</v>
      </c>
      <c r="BL344">
        <v>0</v>
      </c>
      <c r="BM344">
        <v>-1824.1667579908676</v>
      </c>
      <c r="BR344">
        <v>0</v>
      </c>
      <c r="BS344">
        <v>1382.0332420091322</v>
      </c>
      <c r="BT344">
        <v>-1289.8000913242008</v>
      </c>
      <c r="BZ344" t="s">
        <v>1038</v>
      </c>
      <c r="CE344">
        <v>0</v>
      </c>
    </row>
    <row r="345" spans="1:83">
      <c r="A345">
        <v>1605</v>
      </c>
      <c r="B345" t="s">
        <v>867</v>
      </c>
      <c r="C345" t="s">
        <v>54</v>
      </c>
      <c r="D345" t="s">
        <v>1</v>
      </c>
      <c r="E345" t="s">
        <v>115</v>
      </c>
      <c r="F345" t="s">
        <v>99</v>
      </c>
      <c r="G345" t="s">
        <v>100</v>
      </c>
      <c r="H345" t="s">
        <v>128</v>
      </c>
      <c r="I345" t="s">
        <v>100</v>
      </c>
      <c r="J345" t="s">
        <v>101</v>
      </c>
      <c r="K345" t="s">
        <v>559</v>
      </c>
      <c r="L345" t="s">
        <v>559</v>
      </c>
      <c r="M345" t="s">
        <v>100</v>
      </c>
      <c r="N345" t="s">
        <v>553</v>
      </c>
      <c r="O345" t="s">
        <v>100</v>
      </c>
      <c r="Q345" t="s">
        <v>553</v>
      </c>
      <c r="R345" t="s">
        <v>119</v>
      </c>
      <c r="S345" t="s">
        <v>130</v>
      </c>
      <c r="T345" t="s">
        <v>120</v>
      </c>
      <c r="U345" t="s">
        <v>101</v>
      </c>
      <c r="V345" t="s">
        <v>121</v>
      </c>
      <c r="W345" t="s">
        <v>122</v>
      </c>
      <c r="X345" t="s">
        <v>123</v>
      </c>
      <c r="Y345">
        <v>1</v>
      </c>
      <c r="Z345" t="s">
        <v>598</v>
      </c>
      <c r="AA345" s="280">
        <v>44865</v>
      </c>
      <c r="AB345" t="s">
        <v>114</v>
      </c>
      <c r="AC345" t="s">
        <v>124</v>
      </c>
      <c r="AD345" s="280">
        <v>45016</v>
      </c>
      <c r="AE345" t="s">
        <v>125</v>
      </c>
      <c r="AF345">
        <v>6</v>
      </c>
      <c r="AG345">
        <v>0</v>
      </c>
      <c r="AH345">
        <v>0</v>
      </c>
      <c r="AI345" t="s">
        <v>126</v>
      </c>
      <c r="AL345">
        <v>3.5863013698630137</v>
      </c>
      <c r="AM345">
        <v>0</v>
      </c>
      <c r="AN345">
        <v>3.5863013698630137</v>
      </c>
      <c r="AO345">
        <v>2.5863013698630137</v>
      </c>
      <c r="AP345" t="s">
        <v>1050</v>
      </c>
      <c r="AR345" t="s">
        <v>127</v>
      </c>
      <c r="AS345">
        <v>3206.2</v>
      </c>
      <c r="AX345">
        <v>3206.2</v>
      </c>
      <c r="AY345">
        <v>1916.399908675799</v>
      </c>
      <c r="AZ345">
        <v>0</v>
      </c>
      <c r="BC345">
        <v>-1289.8000913242008</v>
      </c>
      <c r="BE345" t="s">
        <v>114</v>
      </c>
      <c r="BH345">
        <v>-534.36666666666667</v>
      </c>
      <c r="BI345">
        <v>-44.530555555555559</v>
      </c>
      <c r="BK345" t="s">
        <v>116</v>
      </c>
      <c r="BL345">
        <v>0</v>
      </c>
      <c r="BM345">
        <v>-1824.1667579908676</v>
      </c>
      <c r="BR345">
        <v>0</v>
      </c>
      <c r="BS345">
        <v>1382.0332420091322</v>
      </c>
      <c r="BT345">
        <v>-1289.8000913242008</v>
      </c>
      <c r="BZ345" t="s">
        <v>1037</v>
      </c>
      <c r="CE345">
        <v>0</v>
      </c>
    </row>
    <row r="346" spans="1:83">
      <c r="A346">
        <v>1604</v>
      </c>
      <c r="B346" t="s">
        <v>877</v>
      </c>
      <c r="C346" t="s">
        <v>54</v>
      </c>
      <c r="D346" t="s">
        <v>1</v>
      </c>
      <c r="E346" t="s">
        <v>115</v>
      </c>
      <c r="F346" t="s">
        <v>99</v>
      </c>
      <c r="G346" t="s">
        <v>100</v>
      </c>
      <c r="H346" t="s">
        <v>128</v>
      </c>
      <c r="I346" t="s">
        <v>100</v>
      </c>
      <c r="J346" t="s">
        <v>101</v>
      </c>
      <c r="K346" t="s">
        <v>559</v>
      </c>
      <c r="L346" t="s">
        <v>559</v>
      </c>
      <c r="M346" t="s">
        <v>100</v>
      </c>
      <c r="N346" t="s">
        <v>553</v>
      </c>
      <c r="O346" t="s">
        <v>100</v>
      </c>
      <c r="Q346" t="s">
        <v>553</v>
      </c>
      <c r="R346" t="s">
        <v>119</v>
      </c>
      <c r="S346" t="s">
        <v>130</v>
      </c>
      <c r="T346" t="s">
        <v>120</v>
      </c>
      <c r="U346" t="s">
        <v>101</v>
      </c>
      <c r="V346" t="s">
        <v>121</v>
      </c>
      <c r="W346" t="s">
        <v>122</v>
      </c>
      <c r="X346" t="s">
        <v>123</v>
      </c>
      <c r="Y346">
        <v>1</v>
      </c>
      <c r="Z346" t="s">
        <v>598</v>
      </c>
      <c r="AA346" s="280">
        <v>44865</v>
      </c>
      <c r="AB346" t="s">
        <v>114</v>
      </c>
      <c r="AC346" t="s">
        <v>124</v>
      </c>
      <c r="AD346" s="280">
        <v>45016</v>
      </c>
      <c r="AE346" t="s">
        <v>125</v>
      </c>
      <c r="AF346">
        <v>6</v>
      </c>
      <c r="AG346">
        <v>0</v>
      </c>
      <c r="AH346">
        <v>0</v>
      </c>
      <c r="AI346" t="s">
        <v>126</v>
      </c>
      <c r="AL346">
        <v>3.5863013698630137</v>
      </c>
      <c r="AM346">
        <v>0</v>
      </c>
      <c r="AN346">
        <v>3.5863013698630137</v>
      </c>
      <c r="AO346">
        <v>2.5863013698630137</v>
      </c>
      <c r="AP346" t="s">
        <v>1050</v>
      </c>
      <c r="AR346" t="s">
        <v>127</v>
      </c>
      <c r="AS346">
        <v>3206.2</v>
      </c>
      <c r="AX346">
        <v>3206.2</v>
      </c>
      <c r="AY346">
        <v>1916.399908675799</v>
      </c>
      <c r="AZ346">
        <v>0</v>
      </c>
      <c r="BC346">
        <v>-1289.8000913242008</v>
      </c>
      <c r="BE346" t="s">
        <v>114</v>
      </c>
      <c r="BH346">
        <v>-534.36666666666667</v>
      </c>
      <c r="BI346">
        <v>-44.530555555555559</v>
      </c>
      <c r="BK346" t="s">
        <v>116</v>
      </c>
      <c r="BL346">
        <v>0</v>
      </c>
      <c r="BM346">
        <v>-1824.1667579908676</v>
      </c>
      <c r="BR346">
        <v>0</v>
      </c>
      <c r="BS346">
        <v>1382.0332420091322</v>
      </c>
      <c r="BT346">
        <v>-1289.8000913242008</v>
      </c>
      <c r="BZ346" t="s">
        <v>967</v>
      </c>
      <c r="CE346">
        <v>0</v>
      </c>
    </row>
    <row r="347" spans="1:83">
      <c r="A347">
        <v>1603</v>
      </c>
      <c r="B347" t="s">
        <v>935</v>
      </c>
      <c r="C347" t="s">
        <v>54</v>
      </c>
      <c r="D347" t="s">
        <v>1</v>
      </c>
      <c r="E347" t="s">
        <v>115</v>
      </c>
      <c r="F347" t="s">
        <v>99</v>
      </c>
      <c r="G347" t="s">
        <v>100</v>
      </c>
      <c r="H347" t="s">
        <v>128</v>
      </c>
      <c r="I347" t="s">
        <v>100</v>
      </c>
      <c r="J347" t="s">
        <v>101</v>
      </c>
      <c r="K347" t="s">
        <v>559</v>
      </c>
      <c r="L347" t="s">
        <v>559</v>
      </c>
      <c r="M347" t="s">
        <v>100</v>
      </c>
      <c r="N347" t="s">
        <v>553</v>
      </c>
      <c r="O347" t="s">
        <v>100</v>
      </c>
      <c r="Q347" t="s">
        <v>553</v>
      </c>
      <c r="R347" t="s">
        <v>119</v>
      </c>
      <c r="S347" t="s">
        <v>130</v>
      </c>
      <c r="T347" t="s">
        <v>120</v>
      </c>
      <c r="U347" t="s">
        <v>101</v>
      </c>
      <c r="V347" t="s">
        <v>121</v>
      </c>
      <c r="W347" t="s">
        <v>122</v>
      </c>
      <c r="X347" t="s">
        <v>123</v>
      </c>
      <c r="Y347">
        <v>1</v>
      </c>
      <c r="Z347" t="s">
        <v>598</v>
      </c>
      <c r="AA347" s="280">
        <v>44865</v>
      </c>
      <c r="AB347" t="s">
        <v>114</v>
      </c>
      <c r="AC347" t="s">
        <v>124</v>
      </c>
      <c r="AD347" s="280">
        <v>45016</v>
      </c>
      <c r="AE347" t="s">
        <v>125</v>
      </c>
      <c r="AF347">
        <v>6</v>
      </c>
      <c r="AG347">
        <v>0</v>
      </c>
      <c r="AH347">
        <v>0</v>
      </c>
      <c r="AI347" t="s">
        <v>126</v>
      </c>
      <c r="AL347">
        <v>3.5863013698630137</v>
      </c>
      <c r="AM347">
        <v>0</v>
      </c>
      <c r="AN347">
        <v>3.5863013698630137</v>
      </c>
      <c r="AO347">
        <v>2.5863013698630137</v>
      </c>
      <c r="AP347" t="s">
        <v>1050</v>
      </c>
      <c r="AR347" t="s">
        <v>127</v>
      </c>
      <c r="AS347">
        <v>3296.2</v>
      </c>
      <c r="AX347">
        <v>3296.2</v>
      </c>
      <c r="AY347">
        <v>1970.194429223744</v>
      </c>
      <c r="AZ347">
        <v>0</v>
      </c>
      <c r="BC347">
        <v>-1326.0055707762558</v>
      </c>
      <c r="BE347" t="s">
        <v>114</v>
      </c>
      <c r="BH347">
        <v>-549.36666666666656</v>
      </c>
      <c r="BI347">
        <v>-45.780555555555544</v>
      </c>
      <c r="BK347" t="s">
        <v>116</v>
      </c>
      <c r="BL347">
        <v>0</v>
      </c>
      <c r="BM347">
        <v>-1875.3722374429224</v>
      </c>
      <c r="BR347">
        <v>0</v>
      </c>
      <c r="BS347">
        <v>1420.8277625570774</v>
      </c>
      <c r="BT347">
        <v>-1326.0055707762558</v>
      </c>
      <c r="BZ347" t="s">
        <v>1036</v>
      </c>
      <c r="CE347">
        <v>0</v>
      </c>
    </row>
    <row r="348" spans="1:83">
      <c r="A348" t="s">
        <v>796</v>
      </c>
      <c r="B348" t="s">
        <v>864</v>
      </c>
      <c r="C348" t="s">
        <v>54</v>
      </c>
      <c r="D348" t="s">
        <v>1</v>
      </c>
      <c r="E348" t="s">
        <v>115</v>
      </c>
      <c r="F348" t="s">
        <v>99</v>
      </c>
      <c r="G348" t="s">
        <v>100</v>
      </c>
      <c r="H348" t="s">
        <v>128</v>
      </c>
      <c r="I348" t="s">
        <v>100</v>
      </c>
      <c r="J348" t="s">
        <v>101</v>
      </c>
      <c r="K348" t="s">
        <v>559</v>
      </c>
      <c r="L348" t="s">
        <v>559</v>
      </c>
      <c r="M348" t="s">
        <v>100</v>
      </c>
      <c r="N348" t="s">
        <v>498</v>
      </c>
      <c r="O348" t="s">
        <v>100</v>
      </c>
      <c r="Q348" t="s">
        <v>498</v>
      </c>
      <c r="R348" t="s">
        <v>119</v>
      </c>
      <c r="S348" t="s">
        <v>130</v>
      </c>
      <c r="T348" t="s">
        <v>120</v>
      </c>
      <c r="U348" t="s">
        <v>101</v>
      </c>
      <c r="V348" t="s">
        <v>121</v>
      </c>
      <c r="W348" t="s">
        <v>122</v>
      </c>
      <c r="X348" t="s">
        <v>123</v>
      </c>
      <c r="Y348">
        <v>1</v>
      </c>
      <c r="Z348" s="280">
        <v>38078</v>
      </c>
      <c r="AA348" s="280">
        <v>38078</v>
      </c>
      <c r="AB348" t="s">
        <v>114</v>
      </c>
      <c r="AC348" t="s">
        <v>124</v>
      </c>
      <c r="AD348" s="280">
        <v>44651</v>
      </c>
      <c r="AE348" t="s">
        <v>125</v>
      </c>
      <c r="AF348">
        <v>6</v>
      </c>
      <c r="AG348">
        <v>0</v>
      </c>
      <c r="AH348">
        <v>0</v>
      </c>
      <c r="AI348" t="s">
        <v>126</v>
      </c>
      <c r="AL348">
        <v>1</v>
      </c>
      <c r="AN348">
        <v>1</v>
      </c>
      <c r="AO348">
        <v>0</v>
      </c>
      <c r="AP348" t="s">
        <v>1050</v>
      </c>
      <c r="AR348" t="s">
        <v>127</v>
      </c>
      <c r="AS348">
        <v>3780.24</v>
      </c>
      <c r="AX348">
        <v>3780.24</v>
      </c>
      <c r="AY348">
        <v>210.01333333333332</v>
      </c>
      <c r="AZ348">
        <v>0</v>
      </c>
      <c r="BC348">
        <v>-3570.2266666666665</v>
      </c>
      <c r="BE348" t="s">
        <v>114</v>
      </c>
      <c r="BH348">
        <v>-210.01333333333332</v>
      </c>
      <c r="BI348">
        <v>-17.501111111111111</v>
      </c>
      <c r="BK348" t="s">
        <v>116</v>
      </c>
      <c r="BL348">
        <v>0</v>
      </c>
      <c r="BM348">
        <v>-3780.24</v>
      </c>
      <c r="BR348">
        <v>0</v>
      </c>
      <c r="BS348">
        <v>0</v>
      </c>
      <c r="BT348">
        <v>-3570.2266666666665</v>
      </c>
      <c r="BZ348" t="s">
        <v>948</v>
      </c>
      <c r="CE348">
        <v>0</v>
      </c>
    </row>
    <row r="349" spans="1:83">
      <c r="A349" t="s">
        <v>795</v>
      </c>
      <c r="B349" t="s">
        <v>859</v>
      </c>
      <c r="C349" t="s">
        <v>54</v>
      </c>
      <c r="D349" t="s">
        <v>1</v>
      </c>
      <c r="E349" t="s">
        <v>115</v>
      </c>
      <c r="F349" t="s">
        <v>99</v>
      </c>
      <c r="G349" t="s">
        <v>100</v>
      </c>
      <c r="H349" t="s">
        <v>128</v>
      </c>
      <c r="I349" t="s">
        <v>100</v>
      </c>
      <c r="J349" t="s">
        <v>101</v>
      </c>
      <c r="K349" t="s">
        <v>559</v>
      </c>
      <c r="L349" t="s">
        <v>559</v>
      </c>
      <c r="M349" t="s">
        <v>100</v>
      </c>
      <c r="N349" t="s">
        <v>444</v>
      </c>
      <c r="O349" t="s">
        <v>100</v>
      </c>
      <c r="Q349" t="s">
        <v>444</v>
      </c>
      <c r="R349" t="s">
        <v>119</v>
      </c>
      <c r="S349" t="s">
        <v>130</v>
      </c>
      <c r="T349" t="s">
        <v>120</v>
      </c>
      <c r="U349" t="s">
        <v>101</v>
      </c>
      <c r="V349" t="s">
        <v>121</v>
      </c>
      <c r="W349" t="s">
        <v>122</v>
      </c>
      <c r="X349" t="s">
        <v>123</v>
      </c>
      <c r="Y349">
        <v>1</v>
      </c>
      <c r="Z349" s="280">
        <v>38078</v>
      </c>
      <c r="AA349" s="280">
        <v>38078</v>
      </c>
      <c r="AB349" t="s">
        <v>114</v>
      </c>
      <c r="AC349" t="s">
        <v>124</v>
      </c>
      <c r="AD349" s="280">
        <v>44651</v>
      </c>
      <c r="AE349" t="s">
        <v>125</v>
      </c>
      <c r="AF349">
        <v>6</v>
      </c>
      <c r="AG349">
        <v>0</v>
      </c>
      <c r="AH349">
        <v>0</v>
      </c>
      <c r="AI349" t="s">
        <v>126</v>
      </c>
      <c r="AL349">
        <v>1</v>
      </c>
      <c r="AN349">
        <v>1</v>
      </c>
      <c r="AO349">
        <v>0</v>
      </c>
      <c r="AP349" t="s">
        <v>1050</v>
      </c>
      <c r="AR349" t="s">
        <v>127</v>
      </c>
      <c r="AS349">
        <v>6460.38</v>
      </c>
      <c r="AX349">
        <v>6460.38</v>
      </c>
      <c r="AY349">
        <v>358.91000000000076</v>
      </c>
      <c r="AZ349">
        <v>0</v>
      </c>
      <c r="BC349">
        <v>-6101.4699999999993</v>
      </c>
      <c r="BE349" t="s">
        <v>114</v>
      </c>
      <c r="BH349">
        <v>-358.91000000000076</v>
      </c>
      <c r="BI349">
        <v>-29.909166666666732</v>
      </c>
      <c r="BK349" t="s">
        <v>116</v>
      </c>
      <c r="BL349">
        <v>0</v>
      </c>
      <c r="BM349">
        <v>-6460.38</v>
      </c>
      <c r="BR349">
        <v>0</v>
      </c>
      <c r="BS349">
        <v>0</v>
      </c>
      <c r="BT349">
        <v>-6101.4699999999993</v>
      </c>
      <c r="BZ349" t="s">
        <v>944</v>
      </c>
      <c r="CE349">
        <v>0</v>
      </c>
    </row>
    <row r="350" spans="1:83">
      <c r="A350" t="s">
        <v>794</v>
      </c>
      <c r="B350" t="s">
        <v>864</v>
      </c>
      <c r="C350" t="s">
        <v>54</v>
      </c>
      <c r="D350" t="s">
        <v>1</v>
      </c>
      <c r="E350" t="s">
        <v>115</v>
      </c>
      <c r="F350" t="s">
        <v>99</v>
      </c>
      <c r="G350" t="s">
        <v>100</v>
      </c>
      <c r="H350" t="s">
        <v>128</v>
      </c>
      <c r="I350" t="s">
        <v>100</v>
      </c>
      <c r="J350" t="s">
        <v>101</v>
      </c>
      <c r="K350" t="s">
        <v>559</v>
      </c>
      <c r="L350" t="s">
        <v>559</v>
      </c>
      <c r="M350" t="s">
        <v>100</v>
      </c>
      <c r="N350" t="s">
        <v>465</v>
      </c>
      <c r="O350" t="s">
        <v>100</v>
      </c>
      <c r="Q350" t="s">
        <v>465</v>
      </c>
      <c r="R350" t="s">
        <v>119</v>
      </c>
      <c r="S350" t="s">
        <v>130</v>
      </c>
      <c r="T350" t="s">
        <v>120</v>
      </c>
      <c r="U350" t="s">
        <v>101</v>
      </c>
      <c r="V350" t="s">
        <v>121</v>
      </c>
      <c r="W350" t="s">
        <v>122</v>
      </c>
      <c r="X350" t="s">
        <v>123</v>
      </c>
      <c r="Y350">
        <v>1</v>
      </c>
      <c r="Z350" t="s">
        <v>566</v>
      </c>
      <c r="AA350" s="280">
        <v>38611</v>
      </c>
      <c r="AB350" t="s">
        <v>114</v>
      </c>
      <c r="AC350" t="s">
        <v>124</v>
      </c>
      <c r="AD350" s="280">
        <v>44651</v>
      </c>
      <c r="AE350" t="s">
        <v>125</v>
      </c>
      <c r="AF350">
        <v>6</v>
      </c>
      <c r="AG350">
        <v>0</v>
      </c>
      <c r="AH350">
        <v>0</v>
      </c>
      <c r="AI350" t="s">
        <v>126</v>
      </c>
      <c r="AL350">
        <v>1</v>
      </c>
      <c r="AN350">
        <v>1</v>
      </c>
      <c r="AO350">
        <v>0</v>
      </c>
      <c r="AP350" t="s">
        <v>1050</v>
      </c>
      <c r="AR350" t="s">
        <v>127</v>
      </c>
      <c r="AS350">
        <v>2052</v>
      </c>
      <c r="AX350">
        <v>2052</v>
      </c>
      <c r="AY350">
        <v>114</v>
      </c>
      <c r="AZ350">
        <v>0</v>
      </c>
      <c r="BC350">
        <v>-1938</v>
      </c>
      <c r="BE350" t="s">
        <v>114</v>
      </c>
      <c r="BH350">
        <v>-114</v>
      </c>
      <c r="BI350">
        <v>-9.5</v>
      </c>
      <c r="BK350" t="s">
        <v>116</v>
      </c>
      <c r="BL350">
        <v>0</v>
      </c>
      <c r="BM350">
        <v>-2052</v>
      </c>
      <c r="BR350">
        <v>0</v>
      </c>
      <c r="BS350">
        <v>0</v>
      </c>
      <c r="BT350">
        <v>-1938</v>
      </c>
      <c r="BZ350" t="s">
        <v>948</v>
      </c>
      <c r="CE350">
        <v>0</v>
      </c>
    </row>
    <row r="351" spans="1:83">
      <c r="A351">
        <v>688</v>
      </c>
      <c r="B351" t="s">
        <v>873</v>
      </c>
      <c r="C351" t="s">
        <v>54</v>
      </c>
      <c r="D351" t="s">
        <v>1</v>
      </c>
      <c r="E351" t="s">
        <v>115</v>
      </c>
      <c r="F351" t="s">
        <v>99</v>
      </c>
      <c r="G351" t="s">
        <v>100</v>
      </c>
      <c r="H351" t="s">
        <v>128</v>
      </c>
      <c r="I351" t="s">
        <v>100</v>
      </c>
      <c r="J351" t="s">
        <v>101</v>
      </c>
      <c r="K351" t="s">
        <v>559</v>
      </c>
      <c r="L351" t="s">
        <v>559</v>
      </c>
      <c r="M351" t="s">
        <v>100</v>
      </c>
      <c r="N351" t="s">
        <v>515</v>
      </c>
      <c r="O351" t="s">
        <v>100</v>
      </c>
      <c r="Q351" t="s">
        <v>515</v>
      </c>
      <c r="R351" t="s">
        <v>119</v>
      </c>
      <c r="S351" t="s">
        <v>130</v>
      </c>
      <c r="T351" t="s">
        <v>120</v>
      </c>
      <c r="U351" t="s">
        <v>101</v>
      </c>
      <c r="V351" t="s">
        <v>121</v>
      </c>
      <c r="W351" t="s">
        <v>122</v>
      </c>
      <c r="X351" t="s">
        <v>123</v>
      </c>
      <c r="Y351">
        <v>1</v>
      </c>
      <c r="Z351" s="280">
        <v>38443</v>
      </c>
      <c r="AA351" s="280">
        <v>38443</v>
      </c>
      <c r="AB351" t="s">
        <v>114</v>
      </c>
      <c r="AC351" t="s">
        <v>124</v>
      </c>
      <c r="AD351" s="280">
        <v>44651</v>
      </c>
      <c r="AE351" t="s">
        <v>125</v>
      </c>
      <c r="AF351">
        <v>6</v>
      </c>
      <c r="AG351">
        <v>0</v>
      </c>
      <c r="AH351">
        <v>0</v>
      </c>
      <c r="AI351" t="s">
        <v>126</v>
      </c>
      <c r="AL351">
        <v>1</v>
      </c>
      <c r="AN351">
        <v>1</v>
      </c>
      <c r="AO351">
        <v>0</v>
      </c>
      <c r="AP351" t="s">
        <v>1052</v>
      </c>
      <c r="AR351" t="s">
        <v>127</v>
      </c>
      <c r="AS351">
        <v>850</v>
      </c>
      <c r="AX351">
        <v>850</v>
      </c>
      <c r="AY351">
        <v>47.222222222222172</v>
      </c>
      <c r="AZ351">
        <v>0</v>
      </c>
      <c r="BC351">
        <v>-802.77777777777783</v>
      </c>
      <c r="BE351" t="s">
        <v>114</v>
      </c>
      <c r="BH351">
        <v>-47.222222222222172</v>
      </c>
      <c r="BI351">
        <v>-3.9351851851851811</v>
      </c>
      <c r="BK351" t="s">
        <v>116</v>
      </c>
      <c r="BL351">
        <v>0</v>
      </c>
      <c r="BM351">
        <v>-850</v>
      </c>
      <c r="BR351">
        <v>0</v>
      </c>
      <c r="BS351">
        <v>0</v>
      </c>
      <c r="BT351">
        <v>-802.77777777777783</v>
      </c>
      <c r="BZ351" t="s">
        <v>1035</v>
      </c>
      <c r="CE351">
        <v>0</v>
      </c>
    </row>
    <row r="352" spans="1:83">
      <c r="A352">
        <v>1192</v>
      </c>
      <c r="B352" t="s">
        <v>889</v>
      </c>
      <c r="C352" t="s">
        <v>54</v>
      </c>
      <c r="D352" t="s">
        <v>1</v>
      </c>
      <c r="E352" t="s">
        <v>115</v>
      </c>
      <c r="F352" t="s">
        <v>99</v>
      </c>
      <c r="G352" t="s">
        <v>100</v>
      </c>
      <c r="H352" t="s">
        <v>128</v>
      </c>
      <c r="I352" t="s">
        <v>100</v>
      </c>
      <c r="J352" t="s">
        <v>101</v>
      </c>
      <c r="K352" t="s">
        <v>559</v>
      </c>
      <c r="L352" t="s">
        <v>559</v>
      </c>
      <c r="M352" t="s">
        <v>100</v>
      </c>
      <c r="N352" t="s">
        <v>797</v>
      </c>
      <c r="O352" t="s">
        <v>100</v>
      </c>
      <c r="Q352" t="s">
        <v>797</v>
      </c>
      <c r="R352" t="s">
        <v>119</v>
      </c>
      <c r="S352" t="s">
        <v>130</v>
      </c>
      <c r="T352" t="s">
        <v>120</v>
      </c>
      <c r="U352" t="s">
        <v>101</v>
      </c>
      <c r="V352" t="s">
        <v>121</v>
      </c>
      <c r="W352" t="s">
        <v>122</v>
      </c>
      <c r="X352" t="s">
        <v>123</v>
      </c>
      <c r="Y352">
        <v>1</v>
      </c>
      <c r="Z352" t="s">
        <v>566</v>
      </c>
      <c r="AA352" s="280">
        <v>38611</v>
      </c>
      <c r="AB352" t="s">
        <v>114</v>
      </c>
      <c r="AC352" t="s">
        <v>124</v>
      </c>
      <c r="AD352" s="280">
        <v>44651</v>
      </c>
      <c r="AE352" t="s">
        <v>125</v>
      </c>
      <c r="AF352">
        <v>6</v>
      </c>
      <c r="AG352">
        <v>0</v>
      </c>
      <c r="AH352">
        <v>0</v>
      </c>
      <c r="AI352" t="s">
        <v>126</v>
      </c>
      <c r="AL352">
        <v>1</v>
      </c>
      <c r="AN352">
        <v>1</v>
      </c>
      <c r="AO352">
        <v>0</v>
      </c>
      <c r="AP352" t="s">
        <v>1050</v>
      </c>
      <c r="AR352" t="s">
        <v>127</v>
      </c>
      <c r="AS352">
        <v>2052</v>
      </c>
      <c r="AX352">
        <v>2052</v>
      </c>
      <c r="AY352">
        <v>114</v>
      </c>
      <c r="AZ352">
        <v>0</v>
      </c>
      <c r="BC352">
        <v>-1938</v>
      </c>
      <c r="BE352" t="s">
        <v>114</v>
      </c>
      <c r="BH352">
        <v>-114</v>
      </c>
      <c r="BI352">
        <v>-9.5</v>
      </c>
      <c r="BK352" t="s">
        <v>116</v>
      </c>
      <c r="BL352">
        <v>0</v>
      </c>
      <c r="BM352">
        <v>-2052</v>
      </c>
      <c r="BR352">
        <v>0</v>
      </c>
      <c r="BS352">
        <v>0</v>
      </c>
      <c r="BT352">
        <v>-1938</v>
      </c>
      <c r="BZ352" t="s">
        <v>978</v>
      </c>
      <c r="CE352">
        <v>0</v>
      </c>
    </row>
    <row r="353" spans="1:83">
      <c r="A353" t="s">
        <v>792</v>
      </c>
      <c r="B353" t="s">
        <v>893</v>
      </c>
      <c r="C353" t="s">
        <v>54</v>
      </c>
      <c r="D353" t="s">
        <v>1</v>
      </c>
      <c r="E353" t="s">
        <v>115</v>
      </c>
      <c r="F353" t="s">
        <v>99</v>
      </c>
      <c r="G353" t="s">
        <v>100</v>
      </c>
      <c r="H353" t="s">
        <v>128</v>
      </c>
      <c r="I353" t="s">
        <v>100</v>
      </c>
      <c r="J353" t="s">
        <v>101</v>
      </c>
      <c r="K353" t="s">
        <v>559</v>
      </c>
      <c r="L353" t="s">
        <v>559</v>
      </c>
      <c r="M353" t="s">
        <v>100</v>
      </c>
      <c r="N353" t="s">
        <v>798</v>
      </c>
      <c r="O353" t="s">
        <v>100</v>
      </c>
      <c r="Q353" t="s">
        <v>798</v>
      </c>
      <c r="R353" t="s">
        <v>119</v>
      </c>
      <c r="S353" t="s">
        <v>130</v>
      </c>
      <c r="T353" t="s">
        <v>120</v>
      </c>
      <c r="U353" t="s">
        <v>101</v>
      </c>
      <c r="V353" t="s">
        <v>121</v>
      </c>
      <c r="W353" t="s">
        <v>122</v>
      </c>
      <c r="X353" t="s">
        <v>123</v>
      </c>
      <c r="Y353">
        <v>1</v>
      </c>
      <c r="Z353" t="s">
        <v>584</v>
      </c>
      <c r="AA353" s="280">
        <v>41548</v>
      </c>
      <c r="AB353" t="s">
        <v>114</v>
      </c>
      <c r="AC353" t="s">
        <v>124</v>
      </c>
      <c r="AD353" s="280">
        <v>44651</v>
      </c>
      <c r="AE353" t="s">
        <v>125</v>
      </c>
      <c r="AF353">
        <v>6</v>
      </c>
      <c r="AG353">
        <v>0</v>
      </c>
      <c r="AH353">
        <v>0</v>
      </c>
      <c r="AI353" t="s">
        <v>126</v>
      </c>
      <c r="AL353">
        <v>1</v>
      </c>
      <c r="AN353">
        <v>1</v>
      </c>
      <c r="AO353">
        <v>0</v>
      </c>
      <c r="AP353" t="s">
        <v>1050</v>
      </c>
      <c r="AR353" t="s">
        <v>127</v>
      </c>
      <c r="AS353">
        <v>4250</v>
      </c>
      <c r="AX353">
        <v>4250</v>
      </c>
      <c r="AY353">
        <v>236.11111111111131</v>
      </c>
      <c r="AZ353">
        <v>0</v>
      </c>
      <c r="BC353">
        <v>-4013.8888888888887</v>
      </c>
      <c r="BE353" t="s">
        <v>114</v>
      </c>
      <c r="BH353">
        <v>-236.11111111111131</v>
      </c>
      <c r="BI353">
        <v>-19.675925925925942</v>
      </c>
      <c r="BK353" t="s">
        <v>116</v>
      </c>
      <c r="BL353">
        <v>0</v>
      </c>
      <c r="BM353">
        <v>-4250</v>
      </c>
      <c r="BR353">
        <v>0</v>
      </c>
      <c r="BS353">
        <v>0</v>
      </c>
      <c r="BT353">
        <v>-4013.8888888888887</v>
      </c>
      <c r="BZ353" t="s">
        <v>979</v>
      </c>
      <c r="CE353">
        <v>0</v>
      </c>
    </row>
    <row r="354" spans="1:83">
      <c r="A354" t="s">
        <v>791</v>
      </c>
      <c r="B354" t="s">
        <v>897</v>
      </c>
      <c r="C354" t="s">
        <v>54</v>
      </c>
      <c r="D354" t="s">
        <v>1</v>
      </c>
      <c r="E354" t="s">
        <v>115</v>
      </c>
      <c r="F354" t="s">
        <v>99</v>
      </c>
      <c r="G354" t="s">
        <v>100</v>
      </c>
      <c r="H354" t="s">
        <v>128</v>
      </c>
      <c r="I354" t="s">
        <v>100</v>
      </c>
      <c r="J354" t="s">
        <v>101</v>
      </c>
      <c r="K354" t="s">
        <v>559</v>
      </c>
      <c r="L354" t="s">
        <v>559</v>
      </c>
      <c r="M354" t="s">
        <v>100</v>
      </c>
      <c r="N354" t="s">
        <v>543</v>
      </c>
      <c r="O354" t="s">
        <v>100</v>
      </c>
      <c r="Q354" t="s">
        <v>543</v>
      </c>
      <c r="R354" t="s">
        <v>119</v>
      </c>
      <c r="S354" t="s">
        <v>130</v>
      </c>
      <c r="T354" t="s">
        <v>120</v>
      </c>
      <c r="U354" t="s">
        <v>101</v>
      </c>
      <c r="V354" t="s">
        <v>121</v>
      </c>
      <c r="W354" t="s">
        <v>122</v>
      </c>
      <c r="X354" t="s">
        <v>123</v>
      </c>
      <c r="Y354">
        <v>1</v>
      </c>
      <c r="Z354" t="s">
        <v>667</v>
      </c>
      <c r="AA354" s="280">
        <v>39934</v>
      </c>
      <c r="AB354" t="s">
        <v>114</v>
      </c>
      <c r="AC354" t="s">
        <v>124</v>
      </c>
      <c r="AD354" s="280">
        <v>44651</v>
      </c>
      <c r="AE354" t="s">
        <v>125</v>
      </c>
      <c r="AF354">
        <v>6</v>
      </c>
      <c r="AG354">
        <v>0</v>
      </c>
      <c r="AH354">
        <v>0</v>
      </c>
      <c r="AI354" t="s">
        <v>126</v>
      </c>
      <c r="AL354">
        <v>1</v>
      </c>
      <c r="AN354">
        <v>1</v>
      </c>
      <c r="AO354">
        <v>0</v>
      </c>
      <c r="AP354" t="s">
        <v>1051</v>
      </c>
      <c r="AR354" t="s">
        <v>127</v>
      </c>
      <c r="AS354">
        <v>691</v>
      </c>
      <c r="AX354">
        <v>691</v>
      </c>
      <c r="AY354">
        <v>38.388888888888914</v>
      </c>
      <c r="AZ354">
        <v>0</v>
      </c>
      <c r="BC354">
        <v>-652.61111111111109</v>
      </c>
      <c r="BE354" t="s">
        <v>114</v>
      </c>
      <c r="BH354">
        <v>-38.388888888888914</v>
      </c>
      <c r="BI354">
        <v>-3.1990740740740762</v>
      </c>
      <c r="BK354" t="s">
        <v>116</v>
      </c>
      <c r="BL354">
        <v>0</v>
      </c>
      <c r="BM354">
        <v>-691</v>
      </c>
      <c r="BR354">
        <v>0</v>
      </c>
      <c r="BS354">
        <v>0</v>
      </c>
      <c r="BT354">
        <v>-652.61111111111109</v>
      </c>
      <c r="BZ354" t="s">
        <v>982</v>
      </c>
      <c r="CE354">
        <v>0</v>
      </c>
    </row>
    <row r="355" spans="1:83">
      <c r="A355" t="s">
        <v>790</v>
      </c>
      <c r="B355" t="s">
        <v>864</v>
      </c>
      <c r="C355" t="s">
        <v>54</v>
      </c>
      <c r="D355" t="s">
        <v>1</v>
      </c>
      <c r="E355" t="s">
        <v>115</v>
      </c>
      <c r="F355" t="s">
        <v>99</v>
      </c>
      <c r="G355" t="s">
        <v>100</v>
      </c>
      <c r="H355" t="s">
        <v>128</v>
      </c>
      <c r="I355" t="s">
        <v>100</v>
      </c>
      <c r="J355" t="s">
        <v>101</v>
      </c>
      <c r="K355" t="s">
        <v>559</v>
      </c>
      <c r="L355" t="s">
        <v>559</v>
      </c>
      <c r="M355" t="s">
        <v>100</v>
      </c>
      <c r="N355" t="s">
        <v>797</v>
      </c>
      <c r="O355" t="s">
        <v>100</v>
      </c>
      <c r="Q355" t="s">
        <v>797</v>
      </c>
      <c r="R355" t="s">
        <v>119</v>
      </c>
      <c r="S355" t="s">
        <v>130</v>
      </c>
      <c r="T355" t="s">
        <v>120</v>
      </c>
      <c r="U355" t="s">
        <v>101</v>
      </c>
      <c r="V355" t="s">
        <v>121</v>
      </c>
      <c r="W355" t="s">
        <v>122</v>
      </c>
      <c r="X355" t="s">
        <v>123</v>
      </c>
      <c r="Y355">
        <v>1</v>
      </c>
      <c r="Z355" t="s">
        <v>566</v>
      </c>
      <c r="AA355" s="280">
        <v>38611</v>
      </c>
      <c r="AB355" t="s">
        <v>114</v>
      </c>
      <c r="AC355" t="s">
        <v>124</v>
      </c>
      <c r="AD355" s="280">
        <v>44651</v>
      </c>
      <c r="AE355" t="s">
        <v>125</v>
      </c>
      <c r="AF355">
        <v>6</v>
      </c>
      <c r="AG355">
        <v>0</v>
      </c>
      <c r="AH355">
        <v>0</v>
      </c>
      <c r="AI355" t="s">
        <v>126</v>
      </c>
      <c r="AL355">
        <v>1</v>
      </c>
      <c r="AN355">
        <v>1</v>
      </c>
      <c r="AO355">
        <v>0</v>
      </c>
      <c r="AP355" t="s">
        <v>1050</v>
      </c>
      <c r="AR355" t="s">
        <v>127</v>
      </c>
      <c r="AS355">
        <v>2052</v>
      </c>
      <c r="AX355">
        <v>2052</v>
      </c>
      <c r="AY355">
        <v>114</v>
      </c>
      <c r="AZ355">
        <v>0</v>
      </c>
      <c r="BC355">
        <v>-1938</v>
      </c>
      <c r="BE355" t="s">
        <v>114</v>
      </c>
      <c r="BH355">
        <v>-114</v>
      </c>
      <c r="BI355">
        <v>-9.5</v>
      </c>
      <c r="BK355" t="s">
        <v>116</v>
      </c>
      <c r="BL355">
        <v>0</v>
      </c>
      <c r="BM355">
        <v>-2052</v>
      </c>
      <c r="BR355">
        <v>0</v>
      </c>
      <c r="BS355">
        <v>0</v>
      </c>
      <c r="BT355">
        <v>-1938</v>
      </c>
      <c r="BZ355" t="s">
        <v>948</v>
      </c>
      <c r="CE355">
        <v>0</v>
      </c>
    </row>
    <row r="356" spans="1:83">
      <c r="A356" t="s">
        <v>789</v>
      </c>
      <c r="B356" t="s">
        <v>926</v>
      </c>
      <c r="C356" t="s">
        <v>54</v>
      </c>
      <c r="D356" t="s">
        <v>1</v>
      </c>
      <c r="E356" t="s">
        <v>115</v>
      </c>
      <c r="F356" t="s">
        <v>99</v>
      </c>
      <c r="G356" t="s">
        <v>100</v>
      </c>
      <c r="H356" t="s">
        <v>128</v>
      </c>
      <c r="I356" t="s">
        <v>100</v>
      </c>
      <c r="J356" t="s">
        <v>101</v>
      </c>
      <c r="K356" t="s">
        <v>559</v>
      </c>
      <c r="L356" t="s">
        <v>559</v>
      </c>
      <c r="M356" t="s">
        <v>100</v>
      </c>
      <c r="N356" t="s">
        <v>797</v>
      </c>
      <c r="O356" t="s">
        <v>100</v>
      </c>
      <c r="Q356" t="s">
        <v>797</v>
      </c>
      <c r="R356" t="s">
        <v>119</v>
      </c>
      <c r="S356" t="s">
        <v>130</v>
      </c>
      <c r="T356" t="s">
        <v>120</v>
      </c>
      <c r="U356" t="s">
        <v>101</v>
      </c>
      <c r="V356" t="s">
        <v>121</v>
      </c>
      <c r="W356" t="s">
        <v>122</v>
      </c>
      <c r="X356" t="s">
        <v>123</v>
      </c>
      <c r="Y356">
        <v>1</v>
      </c>
      <c r="Z356" t="s">
        <v>566</v>
      </c>
      <c r="AA356" s="280">
        <v>38611</v>
      </c>
      <c r="AB356" t="s">
        <v>114</v>
      </c>
      <c r="AC356" t="s">
        <v>124</v>
      </c>
      <c r="AD356" s="280">
        <v>44651</v>
      </c>
      <c r="AE356" t="s">
        <v>125</v>
      </c>
      <c r="AF356">
        <v>6</v>
      </c>
      <c r="AG356">
        <v>0</v>
      </c>
      <c r="AH356">
        <v>0</v>
      </c>
      <c r="AI356" t="s">
        <v>126</v>
      </c>
      <c r="AL356">
        <v>1</v>
      </c>
      <c r="AN356">
        <v>1</v>
      </c>
      <c r="AO356">
        <v>0</v>
      </c>
      <c r="AP356" t="s">
        <v>1050</v>
      </c>
      <c r="AR356" t="s">
        <v>127</v>
      </c>
      <c r="AS356">
        <v>2052</v>
      </c>
      <c r="AX356">
        <v>2052</v>
      </c>
      <c r="AY356">
        <v>114</v>
      </c>
      <c r="AZ356">
        <v>0</v>
      </c>
      <c r="BC356">
        <v>-1938</v>
      </c>
      <c r="BE356" t="s">
        <v>114</v>
      </c>
      <c r="BH356">
        <v>-114</v>
      </c>
      <c r="BI356">
        <v>-9.5</v>
      </c>
      <c r="BK356" t="s">
        <v>116</v>
      </c>
      <c r="BL356">
        <v>0</v>
      </c>
      <c r="BM356">
        <v>-2052</v>
      </c>
      <c r="BR356">
        <v>0</v>
      </c>
      <c r="BS356">
        <v>0</v>
      </c>
      <c r="BT356">
        <v>-1938</v>
      </c>
      <c r="BZ356" t="s">
        <v>940</v>
      </c>
      <c r="CE356">
        <v>0</v>
      </c>
    </row>
    <row r="357" spans="1:83">
      <c r="A357" t="s">
        <v>788</v>
      </c>
      <c r="B357" t="s">
        <v>896</v>
      </c>
      <c r="C357" t="s">
        <v>54</v>
      </c>
      <c r="D357" t="s">
        <v>1</v>
      </c>
      <c r="E357" t="s">
        <v>115</v>
      </c>
      <c r="F357" t="s">
        <v>99</v>
      </c>
      <c r="G357" t="s">
        <v>100</v>
      </c>
      <c r="H357" t="s">
        <v>128</v>
      </c>
      <c r="I357" t="s">
        <v>100</v>
      </c>
      <c r="J357" t="s">
        <v>101</v>
      </c>
      <c r="K357" t="s">
        <v>559</v>
      </c>
      <c r="L357" t="s">
        <v>559</v>
      </c>
      <c r="M357" t="s">
        <v>100</v>
      </c>
      <c r="N357" t="s">
        <v>797</v>
      </c>
      <c r="O357" t="s">
        <v>100</v>
      </c>
      <c r="Q357" t="s">
        <v>797</v>
      </c>
      <c r="R357" t="s">
        <v>119</v>
      </c>
      <c r="S357" t="s">
        <v>130</v>
      </c>
      <c r="T357" t="s">
        <v>120</v>
      </c>
      <c r="U357" t="s">
        <v>101</v>
      </c>
      <c r="V357" t="s">
        <v>121</v>
      </c>
      <c r="W357" t="s">
        <v>122</v>
      </c>
      <c r="X357" t="s">
        <v>123</v>
      </c>
      <c r="Y357">
        <v>1</v>
      </c>
      <c r="Z357" t="s">
        <v>566</v>
      </c>
      <c r="AA357" s="280">
        <v>38611</v>
      </c>
      <c r="AB357" t="s">
        <v>114</v>
      </c>
      <c r="AC357" t="s">
        <v>124</v>
      </c>
      <c r="AD357" s="280">
        <v>44651</v>
      </c>
      <c r="AE357" t="s">
        <v>125</v>
      </c>
      <c r="AF357">
        <v>6</v>
      </c>
      <c r="AG357">
        <v>0</v>
      </c>
      <c r="AH357">
        <v>0</v>
      </c>
      <c r="AI357" t="s">
        <v>126</v>
      </c>
      <c r="AL357">
        <v>1</v>
      </c>
      <c r="AN357">
        <v>1</v>
      </c>
      <c r="AO357">
        <v>0</v>
      </c>
      <c r="AP357" t="s">
        <v>1050</v>
      </c>
      <c r="AR357" t="s">
        <v>127</v>
      </c>
      <c r="AS357">
        <v>2052</v>
      </c>
      <c r="AX357">
        <v>2052</v>
      </c>
      <c r="AY357">
        <v>114</v>
      </c>
      <c r="AZ357">
        <v>0</v>
      </c>
      <c r="BC357">
        <v>-1938</v>
      </c>
      <c r="BE357" t="s">
        <v>114</v>
      </c>
      <c r="BH357">
        <v>-114</v>
      </c>
      <c r="BI357">
        <v>-9.5</v>
      </c>
      <c r="BK357" t="s">
        <v>116</v>
      </c>
      <c r="BL357">
        <v>0</v>
      </c>
      <c r="BM357">
        <v>-2052</v>
      </c>
      <c r="BR357">
        <v>0</v>
      </c>
      <c r="BS357">
        <v>0</v>
      </c>
      <c r="BT357">
        <v>-1938</v>
      </c>
      <c r="BZ357" t="s">
        <v>942</v>
      </c>
      <c r="CE357">
        <v>0</v>
      </c>
    </row>
    <row r="358" spans="1:83">
      <c r="A358" t="s">
        <v>787</v>
      </c>
      <c r="B358" t="s">
        <v>877</v>
      </c>
      <c r="C358" t="s">
        <v>54</v>
      </c>
      <c r="D358" t="s">
        <v>1</v>
      </c>
      <c r="E358" t="s">
        <v>115</v>
      </c>
      <c r="F358" t="s">
        <v>99</v>
      </c>
      <c r="G358" t="s">
        <v>100</v>
      </c>
      <c r="H358" t="s">
        <v>128</v>
      </c>
      <c r="I358" t="s">
        <v>100</v>
      </c>
      <c r="J358" t="s">
        <v>101</v>
      </c>
      <c r="K358" t="s">
        <v>559</v>
      </c>
      <c r="L358" t="s">
        <v>559</v>
      </c>
      <c r="M358" t="s">
        <v>100</v>
      </c>
      <c r="N358" t="s">
        <v>802</v>
      </c>
      <c r="O358" t="s">
        <v>100</v>
      </c>
      <c r="Q358" t="s">
        <v>802</v>
      </c>
      <c r="R358" t="s">
        <v>119</v>
      </c>
      <c r="S358" t="s">
        <v>130</v>
      </c>
      <c r="T358" t="s">
        <v>120</v>
      </c>
      <c r="U358" t="s">
        <v>101</v>
      </c>
      <c r="V358" t="s">
        <v>121</v>
      </c>
      <c r="W358" t="s">
        <v>122</v>
      </c>
      <c r="X358" t="s">
        <v>123</v>
      </c>
      <c r="Y358">
        <v>1</v>
      </c>
      <c r="Z358" t="s">
        <v>565</v>
      </c>
      <c r="AA358" s="280">
        <v>38608</v>
      </c>
      <c r="AB358" t="s">
        <v>114</v>
      </c>
      <c r="AC358" t="s">
        <v>124</v>
      </c>
      <c r="AD358" s="280">
        <v>44651</v>
      </c>
      <c r="AE358" t="s">
        <v>125</v>
      </c>
      <c r="AF358">
        <v>6</v>
      </c>
      <c r="AG358">
        <v>0</v>
      </c>
      <c r="AH358">
        <v>0</v>
      </c>
      <c r="AI358" t="s">
        <v>126</v>
      </c>
      <c r="AL358">
        <v>1</v>
      </c>
      <c r="AN358">
        <v>1</v>
      </c>
      <c r="AO358">
        <v>0</v>
      </c>
      <c r="AP358" t="s">
        <v>1050</v>
      </c>
      <c r="AR358" t="s">
        <v>127</v>
      </c>
      <c r="AS358">
        <v>1482</v>
      </c>
      <c r="AX358">
        <v>1482</v>
      </c>
      <c r="AY358">
        <v>82.333333333333485</v>
      </c>
      <c r="AZ358">
        <v>0</v>
      </c>
      <c r="BC358">
        <v>-1399.6666666666665</v>
      </c>
      <c r="BE358" t="s">
        <v>114</v>
      </c>
      <c r="BH358">
        <v>-82.333333333333485</v>
      </c>
      <c r="BI358">
        <v>-6.861111111111124</v>
      </c>
      <c r="BK358" t="s">
        <v>116</v>
      </c>
      <c r="BL358">
        <v>0</v>
      </c>
      <c r="BM358">
        <v>-1482</v>
      </c>
      <c r="BR358">
        <v>0</v>
      </c>
      <c r="BS358">
        <v>0</v>
      </c>
      <c r="BT358">
        <v>-1399.6666666666665</v>
      </c>
      <c r="BZ358" t="s">
        <v>938</v>
      </c>
      <c r="CE358">
        <v>0</v>
      </c>
    </row>
    <row r="359" spans="1:83">
      <c r="A359" t="s">
        <v>786</v>
      </c>
      <c r="B359" t="s">
        <v>871</v>
      </c>
      <c r="C359" t="s">
        <v>54</v>
      </c>
      <c r="D359" t="s">
        <v>1</v>
      </c>
      <c r="E359" t="s">
        <v>115</v>
      </c>
      <c r="F359" t="s">
        <v>99</v>
      </c>
      <c r="G359" t="s">
        <v>100</v>
      </c>
      <c r="H359" t="s">
        <v>128</v>
      </c>
      <c r="I359" t="s">
        <v>100</v>
      </c>
      <c r="J359" t="s">
        <v>101</v>
      </c>
      <c r="K359" t="s">
        <v>559</v>
      </c>
      <c r="L359" t="s">
        <v>559</v>
      </c>
      <c r="M359" t="s">
        <v>100</v>
      </c>
      <c r="N359" t="s">
        <v>432</v>
      </c>
      <c r="O359" t="s">
        <v>100</v>
      </c>
      <c r="Q359" t="s">
        <v>432</v>
      </c>
      <c r="R359" t="s">
        <v>119</v>
      </c>
      <c r="S359" t="s">
        <v>130</v>
      </c>
      <c r="T359" t="s">
        <v>120</v>
      </c>
      <c r="U359" t="s">
        <v>101</v>
      </c>
      <c r="V359" t="s">
        <v>121</v>
      </c>
      <c r="W359" t="s">
        <v>122</v>
      </c>
      <c r="X359" t="s">
        <v>123</v>
      </c>
      <c r="Y359">
        <v>1</v>
      </c>
      <c r="Z359" t="s">
        <v>801</v>
      </c>
      <c r="AA359" s="280">
        <v>38078</v>
      </c>
      <c r="AB359" t="s">
        <v>114</v>
      </c>
      <c r="AC359" t="s">
        <v>124</v>
      </c>
      <c r="AD359" s="280">
        <v>44651</v>
      </c>
      <c r="AE359" t="s">
        <v>125</v>
      </c>
      <c r="AF359">
        <v>6</v>
      </c>
      <c r="AG359">
        <v>0</v>
      </c>
      <c r="AH359">
        <v>0</v>
      </c>
      <c r="AI359" t="s">
        <v>126</v>
      </c>
      <c r="AL359">
        <v>1</v>
      </c>
      <c r="AN359">
        <v>1</v>
      </c>
      <c r="AO359">
        <v>0</v>
      </c>
      <c r="AP359" t="s">
        <v>1050</v>
      </c>
      <c r="AR359" t="s">
        <v>127</v>
      </c>
      <c r="AS359">
        <v>2360.94</v>
      </c>
      <c r="AX359">
        <v>2360.94</v>
      </c>
      <c r="AY359">
        <v>131.16333333333341</v>
      </c>
      <c r="AZ359">
        <v>0</v>
      </c>
      <c r="BC359">
        <v>-2229.7766666666666</v>
      </c>
      <c r="BE359" t="s">
        <v>114</v>
      </c>
      <c r="BH359">
        <v>-131.16333333333341</v>
      </c>
      <c r="BI359">
        <v>-10.930277777777784</v>
      </c>
      <c r="BK359" t="s">
        <v>116</v>
      </c>
      <c r="BL359">
        <v>0</v>
      </c>
      <c r="BM359">
        <v>-2360.94</v>
      </c>
      <c r="BR359">
        <v>0</v>
      </c>
      <c r="BS359">
        <v>0</v>
      </c>
      <c r="BT359">
        <v>-2229.7766666666666</v>
      </c>
      <c r="BZ359" t="s">
        <v>955</v>
      </c>
      <c r="CE359">
        <v>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4C55F-3A1F-42E5-905D-1C141BF7A9F2}">
  <sheetPr>
    <tabColor rgb="FF00B050"/>
  </sheetPr>
  <dimension ref="A1:CE116"/>
  <sheetViews>
    <sheetView topLeftCell="V1" workbookViewId="0">
      <selection activeCell="X15" sqref="X15"/>
    </sheetView>
  </sheetViews>
  <sheetFormatPr defaultRowHeight="14.5"/>
  <cols>
    <col min="1" max="2" width="24.08984375" bestFit="1" customWidth="1"/>
    <col min="3" max="3" width="8.81640625" bestFit="1" customWidth="1"/>
    <col min="4" max="4" width="25.7265625" bestFit="1" customWidth="1"/>
    <col min="5" max="5" width="8.81640625" bestFit="1" customWidth="1"/>
    <col min="6" max="6" width="23.08984375" bestFit="1" customWidth="1"/>
    <col min="7" max="7" width="8.81640625" bestFit="1" customWidth="1"/>
    <col min="8" max="8" width="26.7265625" bestFit="1" customWidth="1"/>
    <col min="9" max="9" width="8.81640625" bestFit="1" customWidth="1"/>
    <col min="10" max="10" width="20.90625" bestFit="1" customWidth="1"/>
    <col min="11" max="11" width="28.7265625" bestFit="1" customWidth="1"/>
    <col min="12" max="12" width="11.7265625" bestFit="1" customWidth="1"/>
    <col min="13" max="13" width="8.81640625" bestFit="1" customWidth="1"/>
    <col min="14" max="14" width="66.1796875" bestFit="1" customWidth="1"/>
    <col min="15" max="15" width="8.81640625" bestFit="1" customWidth="1"/>
    <col min="16" max="16" width="25.6328125" bestFit="1" customWidth="1"/>
    <col min="17" max="17" width="66.1796875" bestFit="1" customWidth="1"/>
    <col min="18" max="18" width="25" bestFit="1" customWidth="1"/>
    <col min="19" max="19" width="12.1796875" bestFit="1" customWidth="1"/>
    <col min="20" max="20" width="20.6328125" bestFit="1" customWidth="1"/>
    <col min="21" max="21" width="14.90625" bestFit="1" customWidth="1"/>
    <col min="22" max="22" width="41.81640625" bestFit="1" customWidth="1"/>
    <col min="23" max="23" width="36.26953125" bestFit="1" customWidth="1"/>
    <col min="24" max="24" width="39.1796875" bestFit="1" customWidth="1"/>
    <col min="25" max="25" width="8.81640625" bestFit="1" customWidth="1"/>
    <col min="26" max="26" width="15.26953125" bestFit="1" customWidth="1"/>
    <col min="27" max="27" width="25.1796875" bestFit="1" customWidth="1"/>
    <col min="28" max="28" width="9.7265625" bestFit="1" customWidth="1"/>
    <col min="29" max="29" width="16.1796875" bestFit="1" customWidth="1"/>
    <col min="30" max="30" width="15.6328125" bestFit="1" customWidth="1"/>
    <col min="31" max="31" width="32.7265625" bestFit="1" customWidth="1"/>
    <col min="32" max="32" width="8.81640625" bestFit="1" customWidth="1"/>
    <col min="33" max="33" width="12" bestFit="1" customWidth="1"/>
    <col min="34" max="34" width="15.36328125" bestFit="1" customWidth="1"/>
    <col min="35" max="35" width="36.08984375" bestFit="1" customWidth="1"/>
    <col min="36" max="36" width="21.26953125" bestFit="1" customWidth="1"/>
    <col min="37" max="37" width="21.36328125" bestFit="1" customWidth="1"/>
    <col min="38" max="38" width="13.7265625" bestFit="1" customWidth="1"/>
    <col min="39" max="39" width="16.7265625" bestFit="1" customWidth="1"/>
    <col min="40" max="40" width="25.1796875" bestFit="1" customWidth="1"/>
    <col min="41" max="41" width="22.6328125" bestFit="1" customWidth="1"/>
    <col min="42" max="42" width="20.7265625" bestFit="1" customWidth="1"/>
    <col min="43" max="43" width="11.26953125" bestFit="1" customWidth="1"/>
    <col min="44" max="44" width="18.36328125" bestFit="1" customWidth="1"/>
    <col min="45" max="45" width="27" bestFit="1" customWidth="1"/>
    <col min="46" max="46" width="33.453125" bestFit="1" customWidth="1"/>
    <col min="47" max="47" width="27.90625" bestFit="1" customWidth="1"/>
    <col min="48" max="48" width="18.08984375" bestFit="1" customWidth="1"/>
    <col min="49" max="49" width="19.7265625" bestFit="1" customWidth="1"/>
    <col min="50" max="50" width="25.90625" bestFit="1" customWidth="1"/>
    <col min="51" max="51" width="30.6328125" bestFit="1" customWidth="1"/>
    <col min="52" max="52" width="18.26953125" bestFit="1" customWidth="1"/>
    <col min="53" max="53" width="29.54296875" bestFit="1" customWidth="1"/>
    <col min="54" max="54" width="21" bestFit="1" customWidth="1"/>
    <col min="55" max="55" width="41.26953125" bestFit="1" customWidth="1"/>
    <col min="56" max="56" width="54.1796875" bestFit="1" customWidth="1"/>
    <col min="57" max="57" width="26.54296875" bestFit="1" customWidth="1"/>
    <col min="58" max="58" width="17" bestFit="1" customWidth="1"/>
    <col min="59" max="59" width="23.54296875" bestFit="1" customWidth="1"/>
    <col min="60" max="60" width="17.6328125" bestFit="1" customWidth="1"/>
    <col min="61" max="61" width="21.36328125" bestFit="1" customWidth="1"/>
    <col min="62" max="62" width="25.36328125" bestFit="1" customWidth="1"/>
    <col min="63" max="63" width="21.1796875" bestFit="1" customWidth="1"/>
    <col min="64" max="64" width="26.6328125" bestFit="1" customWidth="1"/>
    <col min="65" max="65" width="40.1796875" bestFit="1" customWidth="1"/>
    <col min="66" max="66" width="41.36328125" bestFit="1" customWidth="1"/>
    <col min="67" max="67" width="54.81640625" bestFit="1" customWidth="1"/>
    <col min="68" max="68" width="19.453125" bestFit="1" customWidth="1"/>
    <col min="69" max="69" width="35.26953125" bestFit="1" customWidth="1"/>
    <col min="70" max="70" width="40.26953125" bestFit="1" customWidth="1"/>
    <col min="71" max="71" width="29.54296875" bestFit="1" customWidth="1"/>
    <col min="72" max="72" width="20.54296875" bestFit="1" customWidth="1"/>
    <col min="73" max="73" width="50.54296875" bestFit="1" customWidth="1"/>
    <col min="74" max="74" width="55.54296875" bestFit="1" customWidth="1"/>
    <col min="75" max="75" width="17.81640625" bestFit="1" customWidth="1"/>
    <col min="76" max="76" width="13.90625" bestFit="1" customWidth="1"/>
    <col min="77" max="77" width="14.7265625" bestFit="1" customWidth="1"/>
    <col min="78" max="78" width="34.54296875" bestFit="1" customWidth="1"/>
    <col min="79" max="79" width="23.90625" bestFit="1" customWidth="1"/>
    <col min="80" max="81" width="8.81640625" bestFit="1" customWidth="1"/>
    <col min="82" max="82" width="11.26953125" bestFit="1" customWidth="1"/>
    <col min="83" max="83" width="10.54296875" bestFit="1" customWidth="1"/>
  </cols>
  <sheetData>
    <row r="1" spans="1:83">
      <c r="A1" s="49" t="s">
        <v>1188</v>
      </c>
    </row>
    <row r="3" spans="1:83">
      <c r="A3" t="s">
        <v>118</v>
      </c>
      <c r="B3" t="s">
        <v>153</v>
      </c>
      <c r="C3" t="s">
        <v>6</v>
      </c>
      <c r="D3" t="s">
        <v>7</v>
      </c>
      <c r="E3" t="s">
        <v>8</v>
      </c>
      <c r="F3" t="s">
        <v>49</v>
      </c>
      <c r="G3" t="s">
        <v>9</v>
      </c>
      <c r="H3" t="s">
        <v>50</v>
      </c>
      <c r="I3" t="s">
        <v>52</v>
      </c>
      <c r="J3" t="s">
        <v>51</v>
      </c>
      <c r="K3" t="s">
        <v>10</v>
      </c>
      <c r="L3" t="s">
        <v>155</v>
      </c>
      <c r="M3" t="s">
        <v>53</v>
      </c>
      <c r="N3" t="s">
        <v>12</v>
      </c>
      <c r="O3" t="s">
        <v>11</v>
      </c>
      <c r="P3" t="s">
        <v>13</v>
      </c>
      <c r="Q3" t="s">
        <v>14</v>
      </c>
      <c r="R3" t="s">
        <v>15</v>
      </c>
      <c r="S3" t="s">
        <v>16</v>
      </c>
      <c r="T3" t="s">
        <v>17</v>
      </c>
      <c r="U3" t="s">
        <v>18</v>
      </c>
      <c r="V3" t="s">
        <v>19</v>
      </c>
      <c r="W3" t="s">
        <v>20</v>
      </c>
      <c r="X3" t="s">
        <v>92</v>
      </c>
      <c r="Y3" t="s">
        <v>21</v>
      </c>
      <c r="Z3" t="s">
        <v>157</v>
      </c>
      <c r="AA3" t="s">
        <v>55</v>
      </c>
      <c r="AB3" t="s">
        <v>22</v>
      </c>
      <c r="AC3" t="s">
        <v>23</v>
      </c>
      <c r="AD3" t="s">
        <v>131</v>
      </c>
      <c r="AE3" t="s">
        <v>56</v>
      </c>
      <c r="AF3" t="s">
        <v>24</v>
      </c>
      <c r="AG3" t="s">
        <v>172</v>
      </c>
      <c r="AH3" t="s">
        <v>171</v>
      </c>
      <c r="AI3" t="s">
        <v>25</v>
      </c>
      <c r="AJ3" t="s">
        <v>158</v>
      </c>
      <c r="AK3" t="s">
        <v>159</v>
      </c>
      <c r="AL3" t="s">
        <v>161</v>
      </c>
      <c r="AM3" t="s">
        <v>162</v>
      </c>
      <c r="AN3" t="s">
        <v>1179</v>
      </c>
      <c r="AO3" t="s">
        <v>1178</v>
      </c>
      <c r="AP3" t="s">
        <v>166</v>
      </c>
      <c r="AQ3" t="s">
        <v>165</v>
      </c>
      <c r="AR3" t="s">
        <v>26</v>
      </c>
      <c r="AS3" t="s">
        <v>59</v>
      </c>
      <c r="AT3" t="s">
        <v>27</v>
      </c>
      <c r="AU3" t="s">
        <v>28</v>
      </c>
      <c r="AV3" t="s">
        <v>29</v>
      </c>
      <c r="AW3" t="s">
        <v>30</v>
      </c>
      <c r="AX3" t="s">
        <v>57</v>
      </c>
      <c r="AY3" t="s">
        <v>58</v>
      </c>
      <c r="AZ3" t="s">
        <v>31</v>
      </c>
      <c r="BA3" t="s">
        <v>32</v>
      </c>
      <c r="BB3" t="s">
        <v>33</v>
      </c>
      <c r="BC3" t="s">
        <v>34</v>
      </c>
      <c r="BD3" t="s">
        <v>35</v>
      </c>
      <c r="BE3" t="s">
        <v>36</v>
      </c>
      <c r="BF3" t="s">
        <v>37</v>
      </c>
      <c r="BG3" t="s">
        <v>38</v>
      </c>
      <c r="BH3" t="s">
        <v>39</v>
      </c>
      <c r="BI3" t="s">
        <v>1177</v>
      </c>
      <c r="BJ3" t="s">
        <v>40</v>
      </c>
      <c r="BK3" t="s">
        <v>41</v>
      </c>
      <c r="BL3" t="s">
        <v>60</v>
      </c>
      <c r="BM3" t="s">
        <v>61</v>
      </c>
      <c r="BN3" t="s">
        <v>42</v>
      </c>
      <c r="BO3" t="s">
        <v>43</v>
      </c>
      <c r="BP3" t="s">
        <v>44</v>
      </c>
      <c r="BQ3" t="s">
        <v>62</v>
      </c>
      <c r="BR3" t="s">
        <v>63</v>
      </c>
      <c r="BS3" t="s">
        <v>64</v>
      </c>
      <c r="BT3" t="s">
        <v>173</v>
      </c>
      <c r="BU3" t="s">
        <v>45</v>
      </c>
      <c r="BV3" t="s">
        <v>46</v>
      </c>
      <c r="BW3" t="s">
        <v>47</v>
      </c>
      <c r="BX3" t="s">
        <v>48</v>
      </c>
      <c r="BY3" t="s">
        <v>154</v>
      </c>
      <c r="BZ3" t="s">
        <v>148</v>
      </c>
      <c r="CA3" t="s">
        <v>156</v>
      </c>
      <c r="CB3" t="s">
        <v>170</v>
      </c>
      <c r="CC3" t="s">
        <v>169</v>
      </c>
      <c r="CD3" t="s">
        <v>175</v>
      </c>
      <c r="CE3" t="s">
        <v>177</v>
      </c>
    </row>
    <row r="4" spans="1:83">
      <c r="B4" t="s">
        <v>1184</v>
      </c>
      <c r="C4" t="s">
        <v>54</v>
      </c>
      <c r="D4" t="s">
        <v>1</v>
      </c>
      <c r="E4" t="s">
        <v>115</v>
      </c>
      <c r="F4" t="s">
        <v>99</v>
      </c>
      <c r="G4" t="s">
        <v>100</v>
      </c>
      <c r="H4" t="s">
        <v>103</v>
      </c>
      <c r="I4" t="s">
        <v>100</v>
      </c>
      <c r="J4" t="s">
        <v>101</v>
      </c>
      <c r="K4" t="s">
        <v>559</v>
      </c>
      <c r="L4" t="s">
        <v>559</v>
      </c>
      <c r="M4" t="s">
        <v>100</v>
      </c>
      <c r="O4" t="s">
        <v>100</v>
      </c>
      <c r="R4" t="s">
        <v>119</v>
      </c>
      <c r="S4" t="s">
        <v>130</v>
      </c>
      <c r="T4" t="s">
        <v>120</v>
      </c>
      <c r="U4" t="s">
        <v>101</v>
      </c>
      <c r="V4" t="s">
        <v>121</v>
      </c>
      <c r="W4" t="s">
        <v>122</v>
      </c>
      <c r="X4" t="s">
        <v>123</v>
      </c>
      <c r="Y4">
        <v>1</v>
      </c>
      <c r="Z4" s="280">
        <v>45811</v>
      </c>
      <c r="AA4" s="280">
        <v>45811</v>
      </c>
      <c r="AB4" t="s">
        <v>114</v>
      </c>
      <c r="AC4" t="s">
        <v>124</v>
      </c>
      <c r="AD4" s="280">
        <v>45747</v>
      </c>
      <c r="AE4" t="s">
        <v>125</v>
      </c>
      <c r="AF4">
        <v>5</v>
      </c>
      <c r="AG4">
        <v>0</v>
      </c>
      <c r="AH4">
        <v>0</v>
      </c>
      <c r="AI4" t="s">
        <v>126</v>
      </c>
      <c r="AJ4">
        <v>64</v>
      </c>
      <c r="AK4">
        <v>0.17534246575342466</v>
      </c>
      <c r="AN4">
        <v>0</v>
      </c>
      <c r="AO4">
        <v>4.8246575342465752</v>
      </c>
      <c r="AP4" t="s">
        <v>1054</v>
      </c>
      <c r="AR4" t="s">
        <v>127</v>
      </c>
      <c r="AT4">
        <v>10728.35</v>
      </c>
      <c r="AX4">
        <v>10728.35</v>
      </c>
      <c r="AY4">
        <v>0</v>
      </c>
      <c r="BC4">
        <v>0</v>
      </c>
      <c r="BE4" t="s">
        <v>114</v>
      </c>
      <c r="BH4">
        <v>-376.22706849315068</v>
      </c>
      <c r="BI4">
        <v>-31.352255707762556</v>
      </c>
      <c r="BK4" t="s">
        <v>116</v>
      </c>
      <c r="BM4">
        <v>-376.22706849315068</v>
      </c>
      <c r="BR4">
        <v>0</v>
      </c>
      <c r="BS4">
        <v>10352.12293150685</v>
      </c>
      <c r="BT4">
        <v>0</v>
      </c>
    </row>
    <row r="5" spans="1:83">
      <c r="A5">
        <v>1401</v>
      </c>
      <c r="B5" t="s">
        <v>929</v>
      </c>
      <c r="C5" t="s">
        <v>54</v>
      </c>
      <c r="D5" t="s">
        <v>1</v>
      </c>
      <c r="E5" t="s">
        <v>115</v>
      </c>
      <c r="F5" t="s">
        <v>99</v>
      </c>
      <c r="G5" t="s">
        <v>100</v>
      </c>
      <c r="H5" t="s">
        <v>103</v>
      </c>
      <c r="I5" t="s">
        <v>100</v>
      </c>
      <c r="J5" t="s">
        <v>101</v>
      </c>
      <c r="K5" t="s">
        <v>559</v>
      </c>
      <c r="L5" t="s">
        <v>559</v>
      </c>
      <c r="M5" t="s">
        <v>100</v>
      </c>
      <c r="N5" t="s">
        <v>1164</v>
      </c>
      <c r="O5" t="s">
        <v>100</v>
      </c>
      <c r="Q5" t="s">
        <v>1164</v>
      </c>
      <c r="R5" t="s">
        <v>119</v>
      </c>
      <c r="S5" t="s">
        <v>130</v>
      </c>
      <c r="T5" t="s">
        <v>120</v>
      </c>
      <c r="U5" t="s">
        <v>101</v>
      </c>
      <c r="V5" t="s">
        <v>121</v>
      </c>
      <c r="W5" t="s">
        <v>122</v>
      </c>
      <c r="X5" t="s">
        <v>123</v>
      </c>
      <c r="Y5">
        <v>1</v>
      </c>
      <c r="Z5" t="s">
        <v>762</v>
      </c>
      <c r="AA5" s="280">
        <v>44573</v>
      </c>
      <c r="AB5" t="s">
        <v>114</v>
      </c>
      <c r="AC5" t="s">
        <v>124</v>
      </c>
      <c r="AD5" s="280">
        <v>44651</v>
      </c>
      <c r="AE5" t="s">
        <v>125</v>
      </c>
      <c r="AF5">
        <v>3</v>
      </c>
      <c r="AG5">
        <v>0</v>
      </c>
      <c r="AH5">
        <v>0</v>
      </c>
      <c r="AI5" t="s">
        <v>126</v>
      </c>
      <c r="AL5">
        <v>2.536986301369863</v>
      </c>
      <c r="AN5">
        <v>3.536986301369863</v>
      </c>
      <c r="AO5">
        <v>2.536986301369863</v>
      </c>
      <c r="AP5" t="s">
        <v>1050</v>
      </c>
      <c r="AR5" t="s">
        <v>127</v>
      </c>
      <c r="AS5">
        <v>30630.25</v>
      </c>
      <c r="AU5">
        <v>0</v>
      </c>
      <c r="AV5">
        <v>0</v>
      </c>
      <c r="AW5">
        <v>0</v>
      </c>
      <c r="AX5">
        <v>30630.25</v>
      </c>
      <c r="AY5">
        <v>12362.14958087073</v>
      </c>
      <c r="BC5">
        <v>-18268.10041912927</v>
      </c>
      <c r="BE5" t="s">
        <v>114</v>
      </c>
      <c r="BH5">
        <v>-3495.1081309200745</v>
      </c>
      <c r="BI5">
        <v>-291.25901091000623</v>
      </c>
      <c r="BK5" t="s">
        <v>116</v>
      </c>
      <c r="BM5">
        <v>-21763.208550049345</v>
      </c>
      <c r="BR5">
        <v>0</v>
      </c>
      <c r="BS5">
        <v>8867.0414499506551</v>
      </c>
      <c r="BZ5" t="s">
        <v>1165</v>
      </c>
      <c r="CE5">
        <v>0</v>
      </c>
    </row>
    <row r="6" spans="1:83">
      <c r="A6" t="s">
        <v>1157</v>
      </c>
      <c r="B6" t="s">
        <v>1170</v>
      </c>
      <c r="C6" t="s">
        <v>54</v>
      </c>
      <c r="D6" t="s">
        <v>1</v>
      </c>
      <c r="E6" t="s">
        <v>115</v>
      </c>
      <c r="F6" t="s">
        <v>99</v>
      </c>
      <c r="G6" t="s">
        <v>100</v>
      </c>
      <c r="H6" t="s">
        <v>103</v>
      </c>
      <c r="I6" t="s">
        <v>100</v>
      </c>
      <c r="J6" t="s">
        <v>101</v>
      </c>
      <c r="K6" t="s">
        <v>559</v>
      </c>
      <c r="L6" t="s">
        <v>559</v>
      </c>
      <c r="M6" t="s">
        <v>100</v>
      </c>
      <c r="N6" t="s">
        <v>1163</v>
      </c>
      <c r="O6" t="s">
        <v>100</v>
      </c>
      <c r="Q6" t="s">
        <v>1163</v>
      </c>
      <c r="R6" t="s">
        <v>119</v>
      </c>
      <c r="S6" t="s">
        <v>130</v>
      </c>
      <c r="T6" t="s">
        <v>120</v>
      </c>
      <c r="U6" t="s">
        <v>101</v>
      </c>
      <c r="V6" t="s">
        <v>121</v>
      </c>
      <c r="W6" t="s">
        <v>122</v>
      </c>
      <c r="X6" t="s">
        <v>123</v>
      </c>
      <c r="Y6">
        <v>1</v>
      </c>
      <c r="Z6" t="s">
        <v>1153</v>
      </c>
      <c r="AA6" s="280">
        <v>45453</v>
      </c>
      <c r="AB6" t="s">
        <v>114</v>
      </c>
      <c r="AC6" t="s">
        <v>124</v>
      </c>
      <c r="AD6" s="280">
        <v>45747</v>
      </c>
      <c r="AE6" t="s">
        <v>125</v>
      </c>
      <c r="AF6">
        <v>6</v>
      </c>
      <c r="AG6">
        <v>0</v>
      </c>
      <c r="AH6">
        <v>0</v>
      </c>
      <c r="AI6" t="s">
        <v>126</v>
      </c>
      <c r="AJ6">
        <v>294</v>
      </c>
      <c r="AK6">
        <v>0.80547945205479454</v>
      </c>
      <c r="AL6">
        <v>5.1945205479452055</v>
      </c>
      <c r="AM6">
        <v>0</v>
      </c>
      <c r="AN6">
        <v>5.1945205479452055</v>
      </c>
      <c r="AO6">
        <v>5.1945205479452055</v>
      </c>
      <c r="AP6" t="s">
        <v>1054</v>
      </c>
      <c r="AR6" t="s">
        <v>127</v>
      </c>
      <c r="AS6">
        <v>52000</v>
      </c>
      <c r="AV6">
        <v>0</v>
      </c>
      <c r="AX6">
        <v>52000</v>
      </c>
      <c r="AY6">
        <v>45019.178082191778</v>
      </c>
      <c r="BC6">
        <v>-6980.821917808219</v>
      </c>
      <c r="BE6" t="s">
        <v>114</v>
      </c>
      <c r="BH6">
        <v>-8666.6666666666661</v>
      </c>
      <c r="BI6">
        <v>-722.22222222222217</v>
      </c>
      <c r="BK6" t="s">
        <v>116</v>
      </c>
      <c r="BM6">
        <v>-15647.488584474886</v>
      </c>
      <c r="BR6">
        <v>0</v>
      </c>
      <c r="BS6">
        <v>36352.511415525114</v>
      </c>
      <c r="BT6">
        <v>-6980.821917808219</v>
      </c>
      <c r="CE6">
        <v>0</v>
      </c>
    </row>
    <row r="7" spans="1:83">
      <c r="B7" t="s">
        <v>918</v>
      </c>
      <c r="C7" t="s">
        <v>54</v>
      </c>
      <c r="D7" t="s">
        <v>1</v>
      </c>
      <c r="E7" t="s">
        <v>115</v>
      </c>
      <c r="F7" t="s">
        <v>99</v>
      </c>
      <c r="G7" t="s">
        <v>100</v>
      </c>
      <c r="H7" t="s">
        <v>103</v>
      </c>
      <c r="I7" t="s">
        <v>100</v>
      </c>
      <c r="J7" t="s">
        <v>101</v>
      </c>
      <c r="K7" t="s">
        <v>559</v>
      </c>
      <c r="L7" t="s">
        <v>559</v>
      </c>
      <c r="M7" t="s">
        <v>100</v>
      </c>
      <c r="N7" t="s">
        <v>1173</v>
      </c>
      <c r="O7" t="s">
        <v>100</v>
      </c>
      <c r="Q7" t="s">
        <v>1173</v>
      </c>
      <c r="R7" t="s">
        <v>119</v>
      </c>
      <c r="S7" t="s">
        <v>130</v>
      </c>
      <c r="T7" t="s">
        <v>120</v>
      </c>
      <c r="U7" t="s">
        <v>101</v>
      </c>
      <c r="V7" t="s">
        <v>121</v>
      </c>
      <c r="W7" t="s">
        <v>122</v>
      </c>
      <c r="X7" t="s">
        <v>123</v>
      </c>
      <c r="Y7">
        <v>1</v>
      </c>
      <c r="Z7" t="s">
        <v>1151</v>
      </c>
      <c r="AA7" s="280">
        <v>45531</v>
      </c>
      <c r="AB7" t="s">
        <v>114</v>
      </c>
      <c r="AC7" t="s">
        <v>124</v>
      </c>
      <c r="AD7" s="280">
        <v>45747</v>
      </c>
      <c r="AE7" t="s">
        <v>125</v>
      </c>
      <c r="AF7">
        <v>6</v>
      </c>
      <c r="AG7">
        <v>0</v>
      </c>
      <c r="AH7">
        <v>0</v>
      </c>
      <c r="AI7" t="s">
        <v>126</v>
      </c>
      <c r="AJ7">
        <v>216</v>
      </c>
      <c r="AK7">
        <v>0.59178082191780823</v>
      </c>
      <c r="AL7">
        <v>5.4082191780821915</v>
      </c>
      <c r="AM7">
        <v>0</v>
      </c>
      <c r="AN7">
        <v>5.4082191780821915</v>
      </c>
      <c r="AO7">
        <v>5.4082191780821915</v>
      </c>
      <c r="AP7" t="s">
        <v>1054</v>
      </c>
      <c r="AR7" t="s">
        <v>127</v>
      </c>
      <c r="AS7">
        <v>4633070.9064999996</v>
      </c>
      <c r="AV7">
        <v>0</v>
      </c>
      <c r="AX7">
        <v>4633070.9064999996</v>
      </c>
      <c r="AY7">
        <v>4176110.4883246571</v>
      </c>
      <c r="BC7">
        <v>-456960.41817534243</v>
      </c>
      <c r="BE7" t="s">
        <v>114</v>
      </c>
      <c r="BH7">
        <v>-772178.48441666667</v>
      </c>
      <c r="BI7">
        <v>-64348.207034722225</v>
      </c>
      <c r="BK7" t="s">
        <v>116</v>
      </c>
      <c r="BM7">
        <v>-1229138.9025920092</v>
      </c>
      <c r="BR7">
        <v>0</v>
      </c>
      <c r="BS7">
        <v>3403932.0039079906</v>
      </c>
      <c r="BT7">
        <v>-456960.41817534243</v>
      </c>
      <c r="CE7">
        <v>0</v>
      </c>
    </row>
    <row r="8" spans="1:83">
      <c r="A8" t="s">
        <v>1156</v>
      </c>
      <c r="B8" t="s">
        <v>1170</v>
      </c>
      <c r="C8" t="s">
        <v>54</v>
      </c>
      <c r="D8" t="s">
        <v>1</v>
      </c>
      <c r="E8" t="s">
        <v>115</v>
      </c>
      <c r="F8" t="s">
        <v>99</v>
      </c>
      <c r="G8" t="s">
        <v>100</v>
      </c>
      <c r="H8" t="s">
        <v>103</v>
      </c>
      <c r="I8" t="s">
        <v>100</v>
      </c>
      <c r="J8" t="s">
        <v>101</v>
      </c>
      <c r="K8" t="s">
        <v>559</v>
      </c>
      <c r="L8" t="s">
        <v>559</v>
      </c>
      <c r="M8" t="s">
        <v>100</v>
      </c>
      <c r="N8" t="s">
        <v>1162</v>
      </c>
      <c r="O8" t="s">
        <v>100</v>
      </c>
      <c r="Q8" t="s">
        <v>1162</v>
      </c>
      <c r="R8" t="s">
        <v>119</v>
      </c>
      <c r="S8" t="s">
        <v>130</v>
      </c>
      <c r="T8" t="s">
        <v>120</v>
      </c>
      <c r="U8" t="s">
        <v>101</v>
      </c>
      <c r="V8" t="s">
        <v>121</v>
      </c>
      <c r="W8" t="s">
        <v>122</v>
      </c>
      <c r="X8" t="s">
        <v>123</v>
      </c>
      <c r="Y8">
        <v>1</v>
      </c>
      <c r="Z8" t="s">
        <v>1153</v>
      </c>
      <c r="AA8" s="280">
        <v>45453</v>
      </c>
      <c r="AB8" t="s">
        <v>114</v>
      </c>
      <c r="AC8" t="s">
        <v>124</v>
      </c>
      <c r="AD8" s="280">
        <v>45747</v>
      </c>
      <c r="AE8" t="s">
        <v>125</v>
      </c>
      <c r="AF8">
        <v>6</v>
      </c>
      <c r="AG8">
        <v>0</v>
      </c>
      <c r="AH8">
        <v>0</v>
      </c>
      <c r="AI8" t="s">
        <v>126</v>
      </c>
      <c r="AJ8">
        <v>294</v>
      </c>
      <c r="AK8">
        <v>0.80547945205479454</v>
      </c>
      <c r="AL8">
        <v>5.1945205479452055</v>
      </c>
      <c r="AM8">
        <v>0</v>
      </c>
      <c r="AN8">
        <v>5.1945205479452055</v>
      </c>
      <c r="AO8">
        <v>5.1945205479452055</v>
      </c>
      <c r="AP8" t="s">
        <v>1054</v>
      </c>
      <c r="AR8" t="s">
        <v>127</v>
      </c>
      <c r="AS8">
        <v>52000</v>
      </c>
      <c r="AV8">
        <v>0</v>
      </c>
      <c r="AX8">
        <v>52000</v>
      </c>
      <c r="AY8">
        <v>45019.178082191778</v>
      </c>
      <c r="BC8">
        <v>-6980.821917808219</v>
      </c>
      <c r="BE8" t="s">
        <v>114</v>
      </c>
      <c r="BH8">
        <v>-8666.6666666666661</v>
      </c>
      <c r="BI8">
        <v>-722.22222222222217</v>
      </c>
      <c r="BK8" t="s">
        <v>116</v>
      </c>
      <c r="BM8">
        <v>-15647.488584474886</v>
      </c>
      <c r="BR8">
        <v>0</v>
      </c>
      <c r="BS8">
        <v>36352.511415525114</v>
      </c>
      <c r="BT8">
        <v>-6980.821917808219</v>
      </c>
      <c r="CE8">
        <v>0</v>
      </c>
    </row>
    <row r="9" spans="1:83">
      <c r="A9">
        <v>1976</v>
      </c>
      <c r="B9">
        <v>2</v>
      </c>
      <c r="C9" t="s">
        <v>54</v>
      </c>
      <c r="D9" t="s">
        <v>1</v>
      </c>
      <c r="E9" t="s">
        <v>115</v>
      </c>
      <c r="F9" t="s">
        <v>99</v>
      </c>
      <c r="G9" t="s">
        <v>100</v>
      </c>
      <c r="H9" t="s">
        <v>103</v>
      </c>
      <c r="I9" t="s">
        <v>100</v>
      </c>
      <c r="J9" t="s">
        <v>101</v>
      </c>
      <c r="K9" t="s">
        <v>559</v>
      </c>
      <c r="L9" t="s">
        <v>559</v>
      </c>
      <c r="M9" t="s">
        <v>100</v>
      </c>
      <c r="N9" t="s">
        <v>1161</v>
      </c>
      <c r="O9" t="s">
        <v>100</v>
      </c>
      <c r="Q9" t="s">
        <v>1161</v>
      </c>
      <c r="R9" t="s">
        <v>119</v>
      </c>
      <c r="S9" t="s">
        <v>130</v>
      </c>
      <c r="T9" t="s">
        <v>120</v>
      </c>
      <c r="U9" t="s">
        <v>101</v>
      </c>
      <c r="V9" t="s">
        <v>121</v>
      </c>
      <c r="W9" t="s">
        <v>122</v>
      </c>
      <c r="X9" t="s">
        <v>123</v>
      </c>
      <c r="Y9">
        <v>1</v>
      </c>
      <c r="Z9" t="s">
        <v>1153</v>
      </c>
      <c r="AA9" s="280">
        <v>45453</v>
      </c>
      <c r="AB9" t="s">
        <v>114</v>
      </c>
      <c r="AC9" t="s">
        <v>124</v>
      </c>
      <c r="AD9" s="280">
        <v>45747</v>
      </c>
      <c r="AE9" t="s">
        <v>125</v>
      </c>
      <c r="AF9">
        <v>6</v>
      </c>
      <c r="AG9">
        <v>0</v>
      </c>
      <c r="AH9">
        <v>0</v>
      </c>
      <c r="AI9" t="s">
        <v>126</v>
      </c>
      <c r="AJ9">
        <v>294</v>
      </c>
      <c r="AK9">
        <v>0.80547945205479454</v>
      </c>
      <c r="AL9">
        <v>5.1945205479452055</v>
      </c>
      <c r="AM9">
        <v>0</v>
      </c>
      <c r="AN9">
        <v>5.1945205479452055</v>
      </c>
      <c r="AO9">
        <v>5.1945205479452055</v>
      </c>
      <c r="AP9" t="s">
        <v>1054</v>
      </c>
      <c r="AR9" t="s">
        <v>127</v>
      </c>
      <c r="AS9">
        <v>52000</v>
      </c>
      <c r="AV9">
        <v>0</v>
      </c>
      <c r="AX9">
        <v>52000</v>
      </c>
      <c r="AY9">
        <v>45019.178082191778</v>
      </c>
      <c r="BC9">
        <v>-6980.821917808219</v>
      </c>
      <c r="BE9" t="s">
        <v>114</v>
      </c>
      <c r="BH9">
        <v>-8666.6666666666661</v>
      </c>
      <c r="BI9">
        <v>-722.22222222222217</v>
      </c>
      <c r="BK9" t="s">
        <v>116</v>
      </c>
      <c r="BM9">
        <v>-15647.488584474886</v>
      </c>
      <c r="BR9">
        <v>0</v>
      </c>
      <c r="BS9">
        <v>36352.511415525114</v>
      </c>
      <c r="BT9">
        <v>-6980.821917808219</v>
      </c>
      <c r="CE9">
        <v>0</v>
      </c>
    </row>
    <row r="10" spans="1:83">
      <c r="A10" t="s">
        <v>1155</v>
      </c>
      <c r="B10" t="s">
        <v>1169</v>
      </c>
      <c r="C10" t="s">
        <v>54</v>
      </c>
      <c r="D10" t="s">
        <v>1</v>
      </c>
      <c r="E10" t="s">
        <v>115</v>
      </c>
      <c r="F10" t="s">
        <v>99</v>
      </c>
      <c r="G10" t="s">
        <v>100</v>
      </c>
      <c r="H10" t="s">
        <v>103</v>
      </c>
      <c r="I10" t="s">
        <v>100</v>
      </c>
      <c r="J10" t="s">
        <v>101</v>
      </c>
      <c r="K10" t="s">
        <v>559</v>
      </c>
      <c r="L10" t="s">
        <v>559</v>
      </c>
      <c r="M10" t="s">
        <v>100</v>
      </c>
      <c r="N10" t="s">
        <v>1158</v>
      </c>
      <c r="O10" t="s">
        <v>100</v>
      </c>
      <c r="Q10" t="s">
        <v>1158</v>
      </c>
      <c r="R10" t="s">
        <v>119</v>
      </c>
      <c r="S10" t="s">
        <v>130</v>
      </c>
      <c r="T10" t="s">
        <v>120</v>
      </c>
      <c r="U10" t="s">
        <v>101</v>
      </c>
      <c r="V10" t="s">
        <v>121</v>
      </c>
      <c r="W10" t="s">
        <v>122</v>
      </c>
      <c r="X10" t="s">
        <v>123</v>
      </c>
      <c r="Y10">
        <v>1</v>
      </c>
      <c r="Z10" t="s">
        <v>1153</v>
      </c>
      <c r="AA10" s="280">
        <v>45453</v>
      </c>
      <c r="AB10" t="s">
        <v>114</v>
      </c>
      <c r="AC10" t="s">
        <v>124</v>
      </c>
      <c r="AD10" s="280">
        <v>45747</v>
      </c>
      <c r="AE10" t="s">
        <v>125</v>
      </c>
      <c r="AF10">
        <v>6</v>
      </c>
      <c r="AG10">
        <v>0</v>
      </c>
      <c r="AH10">
        <v>0</v>
      </c>
      <c r="AI10" t="s">
        <v>126</v>
      </c>
      <c r="AJ10">
        <v>294</v>
      </c>
      <c r="AK10">
        <v>0.80547945205479454</v>
      </c>
      <c r="AL10">
        <v>5.1945205479452055</v>
      </c>
      <c r="AM10">
        <v>0</v>
      </c>
      <c r="AN10">
        <v>5.1945205479452055</v>
      </c>
      <c r="AO10">
        <v>5.1945205479452055</v>
      </c>
      <c r="AP10" t="s">
        <v>1054</v>
      </c>
      <c r="AR10" t="s">
        <v>127</v>
      </c>
      <c r="AS10">
        <v>52000</v>
      </c>
      <c r="AV10">
        <v>0</v>
      </c>
      <c r="AX10">
        <v>52000</v>
      </c>
      <c r="AY10">
        <v>8900</v>
      </c>
      <c r="BC10">
        <v>-6980.821917808219</v>
      </c>
      <c r="BE10" t="s">
        <v>114</v>
      </c>
      <c r="BH10">
        <v>-1713.3438818565401</v>
      </c>
      <c r="BI10">
        <v>-142.77865682137835</v>
      </c>
      <c r="BK10" t="s">
        <v>116</v>
      </c>
      <c r="BL10">
        <v>0</v>
      </c>
      <c r="BM10">
        <v>-8694.1657996647591</v>
      </c>
      <c r="BN10">
        <v>-36119.178082191778</v>
      </c>
      <c r="BO10">
        <v>0</v>
      </c>
      <c r="BR10">
        <v>-36119.178082191778</v>
      </c>
      <c r="BS10">
        <v>7186.6561181434663</v>
      </c>
      <c r="BT10">
        <v>-6980.821917808219</v>
      </c>
      <c r="BZ10" t="s">
        <v>1171</v>
      </c>
      <c r="CE10">
        <v>0</v>
      </c>
    </row>
    <row r="11" spans="1:83">
      <c r="A11" t="s">
        <v>1106</v>
      </c>
      <c r="B11" t="s">
        <v>1167</v>
      </c>
      <c r="C11" t="s">
        <v>54</v>
      </c>
      <c r="D11" t="s">
        <v>1</v>
      </c>
      <c r="E11" t="s">
        <v>115</v>
      </c>
      <c r="F11" t="s">
        <v>99</v>
      </c>
      <c r="G11" t="s">
        <v>100</v>
      </c>
      <c r="H11" t="s">
        <v>103</v>
      </c>
      <c r="I11" t="s">
        <v>100</v>
      </c>
      <c r="J11" t="s">
        <v>101</v>
      </c>
      <c r="K11" t="s">
        <v>559</v>
      </c>
      <c r="L11" t="s">
        <v>559</v>
      </c>
      <c r="M11" t="s">
        <v>100</v>
      </c>
      <c r="N11" t="s">
        <v>1160</v>
      </c>
      <c r="O11" t="s">
        <v>100</v>
      </c>
      <c r="Q11" t="s">
        <v>1160</v>
      </c>
      <c r="R11" t="s">
        <v>119</v>
      </c>
      <c r="S11" t="s">
        <v>130</v>
      </c>
      <c r="T11" t="s">
        <v>120</v>
      </c>
      <c r="U11" t="s">
        <v>101</v>
      </c>
      <c r="V11" t="s">
        <v>121</v>
      </c>
      <c r="W11" t="s">
        <v>122</v>
      </c>
      <c r="X11" t="s">
        <v>123</v>
      </c>
      <c r="Y11">
        <v>1</v>
      </c>
      <c r="Z11" t="s">
        <v>1153</v>
      </c>
      <c r="AA11" s="280">
        <v>45453</v>
      </c>
      <c r="AB11" t="s">
        <v>114</v>
      </c>
      <c r="AC11" t="s">
        <v>124</v>
      </c>
      <c r="AD11" s="280">
        <v>45747</v>
      </c>
      <c r="AE11" t="s">
        <v>125</v>
      </c>
      <c r="AF11">
        <v>6</v>
      </c>
      <c r="AG11">
        <v>0</v>
      </c>
      <c r="AH11">
        <v>0</v>
      </c>
      <c r="AI11" t="s">
        <v>126</v>
      </c>
      <c r="AJ11">
        <v>294</v>
      </c>
      <c r="AK11">
        <v>0.80547945205479454</v>
      </c>
      <c r="AL11">
        <v>5.1945205479452055</v>
      </c>
      <c r="AM11">
        <v>0</v>
      </c>
      <c r="AN11">
        <v>5.1945205479452055</v>
      </c>
      <c r="AO11">
        <v>5.1945205479452055</v>
      </c>
      <c r="AP11" t="s">
        <v>1054</v>
      </c>
      <c r="AR11" t="s">
        <v>127</v>
      </c>
      <c r="AS11">
        <v>29000</v>
      </c>
      <c r="AX11">
        <v>29000</v>
      </c>
      <c r="AY11">
        <v>25106.849315068492</v>
      </c>
      <c r="AZ11">
        <v>0</v>
      </c>
      <c r="BC11">
        <v>-3893.1506849315069</v>
      </c>
      <c r="BE11" t="s">
        <v>114</v>
      </c>
      <c r="BH11">
        <v>-4833.333333333333</v>
      </c>
      <c r="BI11">
        <v>-402.77777777777777</v>
      </c>
      <c r="BK11" t="s">
        <v>116</v>
      </c>
      <c r="BL11">
        <v>0</v>
      </c>
      <c r="BM11">
        <v>-8726.4840182648404</v>
      </c>
      <c r="BR11">
        <v>0</v>
      </c>
      <c r="BS11">
        <v>20273.51598173516</v>
      </c>
      <c r="BV11" t="s">
        <v>1133</v>
      </c>
      <c r="CE11">
        <v>0</v>
      </c>
    </row>
    <row r="12" spans="1:83">
      <c r="A12" t="s">
        <v>1154</v>
      </c>
      <c r="B12" t="s">
        <v>1166</v>
      </c>
      <c r="C12" t="s">
        <v>54</v>
      </c>
      <c r="D12" t="s">
        <v>1</v>
      </c>
      <c r="E12" t="s">
        <v>115</v>
      </c>
      <c r="F12" t="s">
        <v>99</v>
      </c>
      <c r="G12" t="s">
        <v>100</v>
      </c>
      <c r="H12" t="s">
        <v>103</v>
      </c>
      <c r="I12" t="s">
        <v>100</v>
      </c>
      <c r="J12" t="s">
        <v>101</v>
      </c>
      <c r="K12" t="s">
        <v>559</v>
      </c>
      <c r="L12" t="s">
        <v>559</v>
      </c>
      <c r="M12" t="s">
        <v>100</v>
      </c>
      <c r="N12" t="s">
        <v>1159</v>
      </c>
      <c r="O12" t="s">
        <v>100</v>
      </c>
      <c r="Q12" t="s">
        <v>1159</v>
      </c>
      <c r="R12" t="s">
        <v>119</v>
      </c>
      <c r="S12" t="s">
        <v>130</v>
      </c>
      <c r="T12" t="s">
        <v>120</v>
      </c>
      <c r="U12" t="s">
        <v>101</v>
      </c>
      <c r="V12" t="s">
        <v>121</v>
      </c>
      <c r="W12" t="s">
        <v>122</v>
      </c>
      <c r="X12" t="s">
        <v>123</v>
      </c>
      <c r="Y12">
        <v>1</v>
      </c>
      <c r="Z12" t="s">
        <v>1153</v>
      </c>
      <c r="AA12" s="280">
        <v>45453</v>
      </c>
      <c r="AB12" t="s">
        <v>114</v>
      </c>
      <c r="AC12" t="s">
        <v>124</v>
      </c>
      <c r="AD12" s="280">
        <v>45747</v>
      </c>
      <c r="AE12" t="s">
        <v>125</v>
      </c>
      <c r="AF12">
        <v>6</v>
      </c>
      <c r="AG12">
        <v>0</v>
      </c>
      <c r="AH12">
        <v>0</v>
      </c>
      <c r="AI12" t="s">
        <v>126</v>
      </c>
      <c r="AJ12">
        <v>294</v>
      </c>
      <c r="AK12">
        <v>0.80547945205479454</v>
      </c>
      <c r="AL12">
        <v>5.1945205479452055</v>
      </c>
      <c r="AM12">
        <v>0</v>
      </c>
      <c r="AN12">
        <v>5.1945205479452055</v>
      </c>
      <c r="AO12">
        <v>5.1945205479452055</v>
      </c>
      <c r="AP12" t="s">
        <v>1054</v>
      </c>
      <c r="AR12" t="s">
        <v>127</v>
      </c>
      <c r="AS12">
        <v>29000</v>
      </c>
      <c r="AX12">
        <v>29000</v>
      </c>
      <c r="AY12">
        <v>25106.849315068492</v>
      </c>
      <c r="AZ12">
        <v>0</v>
      </c>
      <c r="BC12">
        <v>-3893.1506849315069</v>
      </c>
      <c r="BE12" t="s">
        <v>114</v>
      </c>
      <c r="BH12">
        <v>-4833.333333333333</v>
      </c>
      <c r="BI12">
        <v>-402.77777777777777</v>
      </c>
      <c r="BK12" t="s">
        <v>116</v>
      </c>
      <c r="BL12">
        <v>0</v>
      </c>
      <c r="BM12">
        <v>-8726.4840182648404</v>
      </c>
      <c r="BR12">
        <v>0</v>
      </c>
      <c r="BS12">
        <v>20273.51598173516</v>
      </c>
      <c r="BV12" t="s">
        <v>1133</v>
      </c>
      <c r="CE12">
        <v>0</v>
      </c>
    </row>
    <row r="13" spans="1:83">
      <c r="A13" t="s">
        <v>1119</v>
      </c>
      <c r="B13" t="s">
        <v>918</v>
      </c>
      <c r="C13" t="s">
        <v>54</v>
      </c>
      <c r="D13" t="s">
        <v>1</v>
      </c>
      <c r="E13" t="s">
        <v>115</v>
      </c>
      <c r="F13" t="s">
        <v>99</v>
      </c>
      <c r="G13" t="s">
        <v>100</v>
      </c>
      <c r="H13" t="s">
        <v>103</v>
      </c>
      <c r="I13" t="s">
        <v>100</v>
      </c>
      <c r="J13" t="s">
        <v>101</v>
      </c>
      <c r="K13" t="s">
        <v>559</v>
      </c>
      <c r="L13" t="s">
        <v>559</v>
      </c>
      <c r="M13" t="s">
        <v>100</v>
      </c>
      <c r="N13" t="s">
        <v>1146</v>
      </c>
      <c r="O13" t="s">
        <v>100</v>
      </c>
      <c r="Q13" t="s">
        <v>1146</v>
      </c>
      <c r="R13" t="s">
        <v>119</v>
      </c>
      <c r="S13" t="s">
        <v>130</v>
      </c>
      <c r="T13" t="s">
        <v>120</v>
      </c>
      <c r="U13" t="s">
        <v>101</v>
      </c>
      <c r="V13" t="s">
        <v>121</v>
      </c>
      <c r="W13" t="s">
        <v>122</v>
      </c>
      <c r="X13" t="s">
        <v>123</v>
      </c>
      <c r="Y13">
        <v>1</v>
      </c>
      <c r="Z13" t="s">
        <v>1150</v>
      </c>
      <c r="AA13" s="280">
        <v>45706</v>
      </c>
      <c r="AB13" t="s">
        <v>114</v>
      </c>
      <c r="AC13" t="s">
        <v>124</v>
      </c>
      <c r="AD13" s="280">
        <v>45747</v>
      </c>
      <c r="AE13" t="s">
        <v>125</v>
      </c>
      <c r="AF13">
        <v>6</v>
      </c>
      <c r="AG13">
        <v>0</v>
      </c>
      <c r="AH13">
        <v>0</v>
      </c>
      <c r="AI13" t="s">
        <v>126</v>
      </c>
      <c r="AJ13">
        <v>41</v>
      </c>
      <c r="AK13">
        <v>0.11232876712328767</v>
      </c>
      <c r="AL13">
        <v>5.8876712328767127</v>
      </c>
      <c r="AM13">
        <v>0</v>
      </c>
      <c r="AN13">
        <v>5.8876712328767127</v>
      </c>
      <c r="AO13">
        <v>5.8876712328767127</v>
      </c>
      <c r="AP13" t="s">
        <v>1054</v>
      </c>
      <c r="AR13" t="s">
        <v>127</v>
      </c>
      <c r="AS13">
        <v>26291</v>
      </c>
      <c r="AX13">
        <v>26291</v>
      </c>
      <c r="AY13">
        <v>26291</v>
      </c>
      <c r="AZ13">
        <v>0</v>
      </c>
      <c r="BC13">
        <v>0</v>
      </c>
      <c r="BE13" t="s">
        <v>114</v>
      </c>
      <c r="BH13">
        <v>-4465.4327594229871</v>
      </c>
      <c r="BI13">
        <v>-372.11939661858224</v>
      </c>
      <c r="BK13" t="s">
        <v>116</v>
      </c>
      <c r="BL13">
        <v>0</v>
      </c>
      <c r="BM13">
        <v>-4465.4327594229871</v>
      </c>
      <c r="BR13">
        <v>0</v>
      </c>
      <c r="BS13">
        <v>21825.567240577013</v>
      </c>
      <c r="BT13">
        <v>0</v>
      </c>
      <c r="CA13" t="s">
        <v>1142</v>
      </c>
      <c r="CE13">
        <v>0</v>
      </c>
    </row>
    <row r="14" spans="1:83">
      <c r="A14" t="s">
        <v>1118</v>
      </c>
      <c r="B14" t="s">
        <v>918</v>
      </c>
      <c r="C14" t="s">
        <v>54</v>
      </c>
      <c r="D14" t="s">
        <v>1</v>
      </c>
      <c r="E14" t="s">
        <v>115</v>
      </c>
      <c r="F14" t="s">
        <v>99</v>
      </c>
      <c r="G14" t="s">
        <v>100</v>
      </c>
      <c r="H14" t="s">
        <v>103</v>
      </c>
      <c r="I14" t="s">
        <v>100</v>
      </c>
      <c r="J14" t="s">
        <v>101</v>
      </c>
      <c r="K14" t="s">
        <v>559</v>
      </c>
      <c r="L14" t="s">
        <v>559</v>
      </c>
      <c r="M14" t="s">
        <v>100</v>
      </c>
      <c r="N14" t="s">
        <v>1146</v>
      </c>
      <c r="O14" t="s">
        <v>100</v>
      </c>
      <c r="Q14" t="s">
        <v>1146</v>
      </c>
      <c r="R14" t="s">
        <v>119</v>
      </c>
      <c r="S14" t="s">
        <v>130</v>
      </c>
      <c r="T14" t="s">
        <v>120</v>
      </c>
      <c r="U14" t="s">
        <v>101</v>
      </c>
      <c r="V14" t="s">
        <v>121</v>
      </c>
      <c r="W14" t="s">
        <v>122</v>
      </c>
      <c r="X14" t="s">
        <v>123</v>
      </c>
      <c r="Y14">
        <v>1</v>
      </c>
      <c r="Z14" t="s">
        <v>1150</v>
      </c>
      <c r="AA14" s="280">
        <v>45706</v>
      </c>
      <c r="AB14" t="s">
        <v>114</v>
      </c>
      <c r="AC14" t="s">
        <v>124</v>
      </c>
      <c r="AD14" s="280">
        <v>45747</v>
      </c>
      <c r="AE14" t="s">
        <v>125</v>
      </c>
      <c r="AF14">
        <v>6</v>
      </c>
      <c r="AG14">
        <v>0</v>
      </c>
      <c r="AH14">
        <v>0</v>
      </c>
      <c r="AI14" t="s">
        <v>126</v>
      </c>
      <c r="AJ14">
        <v>41</v>
      </c>
      <c r="AK14">
        <v>0.11232876712328767</v>
      </c>
      <c r="AL14">
        <v>5.8876712328767127</v>
      </c>
      <c r="AM14">
        <v>0</v>
      </c>
      <c r="AN14">
        <v>5.8876712328767127</v>
      </c>
      <c r="AO14">
        <v>5.8876712328767127</v>
      </c>
      <c r="AP14" t="s">
        <v>1054</v>
      </c>
      <c r="AR14" t="s">
        <v>127</v>
      </c>
      <c r="AS14">
        <v>26291</v>
      </c>
      <c r="AX14">
        <v>26291</v>
      </c>
      <c r="AY14">
        <v>25798.79406392694</v>
      </c>
      <c r="AZ14">
        <v>0</v>
      </c>
      <c r="BC14">
        <v>-492.20593607305932</v>
      </c>
      <c r="BE14" t="s">
        <v>114</v>
      </c>
      <c r="BH14">
        <v>-4381.833333333333</v>
      </c>
      <c r="BI14">
        <v>-365.15277777777777</v>
      </c>
      <c r="BK14" t="s">
        <v>116</v>
      </c>
      <c r="BL14">
        <v>0</v>
      </c>
      <c r="BM14">
        <v>-4874.0392694063921</v>
      </c>
      <c r="BR14">
        <v>0</v>
      </c>
      <c r="BS14">
        <v>21416.960730593608</v>
      </c>
      <c r="BT14">
        <v>-492.20593607305932</v>
      </c>
      <c r="CA14" t="s">
        <v>1141</v>
      </c>
      <c r="CE14">
        <v>0</v>
      </c>
    </row>
    <row r="15" spans="1:83">
      <c r="A15" t="s">
        <v>1117</v>
      </c>
      <c r="B15" t="s">
        <v>918</v>
      </c>
      <c r="C15" t="s">
        <v>54</v>
      </c>
      <c r="D15" t="s">
        <v>1</v>
      </c>
      <c r="E15" t="s">
        <v>115</v>
      </c>
      <c r="F15" t="s">
        <v>99</v>
      </c>
      <c r="G15" t="s">
        <v>100</v>
      </c>
      <c r="H15" t="s">
        <v>103</v>
      </c>
      <c r="I15" t="s">
        <v>100</v>
      </c>
      <c r="J15" t="s">
        <v>101</v>
      </c>
      <c r="K15" t="s">
        <v>559</v>
      </c>
      <c r="L15" t="s">
        <v>559</v>
      </c>
      <c r="M15" t="s">
        <v>100</v>
      </c>
      <c r="N15" t="s">
        <v>1146</v>
      </c>
      <c r="O15" t="s">
        <v>100</v>
      </c>
      <c r="Q15" t="s">
        <v>1146</v>
      </c>
      <c r="R15" t="s">
        <v>119</v>
      </c>
      <c r="S15" t="s">
        <v>130</v>
      </c>
      <c r="T15" t="s">
        <v>120</v>
      </c>
      <c r="U15" t="s">
        <v>101</v>
      </c>
      <c r="V15" t="s">
        <v>121</v>
      </c>
      <c r="W15" t="s">
        <v>122</v>
      </c>
      <c r="X15" t="s">
        <v>123</v>
      </c>
      <c r="Y15">
        <v>1</v>
      </c>
      <c r="Z15" t="s">
        <v>1150</v>
      </c>
      <c r="AA15" s="280">
        <v>45706</v>
      </c>
      <c r="AB15" t="s">
        <v>114</v>
      </c>
      <c r="AC15" t="s">
        <v>124</v>
      </c>
      <c r="AD15" s="280">
        <v>45747</v>
      </c>
      <c r="AE15" t="s">
        <v>125</v>
      </c>
      <c r="AF15">
        <v>6</v>
      </c>
      <c r="AG15">
        <v>0</v>
      </c>
      <c r="AH15">
        <v>0</v>
      </c>
      <c r="AI15" t="s">
        <v>126</v>
      </c>
      <c r="AJ15">
        <v>41</v>
      </c>
      <c r="AK15">
        <v>0.11232876712328767</v>
      </c>
      <c r="AL15">
        <v>5.8876712328767127</v>
      </c>
      <c r="AM15">
        <v>0</v>
      </c>
      <c r="AN15">
        <v>5.8876712328767127</v>
      </c>
      <c r="AO15">
        <v>5.8876712328767127</v>
      </c>
      <c r="AP15" t="s">
        <v>1054</v>
      </c>
      <c r="AR15" t="s">
        <v>127</v>
      </c>
      <c r="AS15">
        <v>26291</v>
      </c>
      <c r="AX15">
        <v>26291</v>
      </c>
      <c r="AY15">
        <v>25798.79406392694</v>
      </c>
      <c r="AZ15">
        <v>0</v>
      </c>
      <c r="BC15">
        <v>-492.20593607305932</v>
      </c>
      <c r="BE15" t="s">
        <v>114</v>
      </c>
      <c r="BH15">
        <v>-4381.833333333333</v>
      </c>
      <c r="BI15">
        <v>-365.15277777777777</v>
      </c>
      <c r="BK15" t="s">
        <v>116</v>
      </c>
      <c r="BL15">
        <v>0</v>
      </c>
      <c r="BM15">
        <v>-4874.0392694063921</v>
      </c>
      <c r="BR15">
        <v>0</v>
      </c>
      <c r="BS15">
        <v>21416.960730593608</v>
      </c>
      <c r="BT15">
        <v>-492.20593607305932</v>
      </c>
      <c r="CA15" t="s">
        <v>1140</v>
      </c>
      <c r="CE15">
        <v>0</v>
      </c>
    </row>
    <row r="16" spans="1:83">
      <c r="A16" t="s">
        <v>1116</v>
      </c>
      <c r="B16" t="s">
        <v>918</v>
      </c>
      <c r="C16" t="s">
        <v>54</v>
      </c>
      <c r="D16" t="s">
        <v>1</v>
      </c>
      <c r="E16" t="s">
        <v>115</v>
      </c>
      <c r="F16" t="s">
        <v>99</v>
      </c>
      <c r="G16" t="s">
        <v>100</v>
      </c>
      <c r="H16" t="s">
        <v>103</v>
      </c>
      <c r="I16" t="s">
        <v>100</v>
      </c>
      <c r="J16" t="s">
        <v>101</v>
      </c>
      <c r="K16" t="s">
        <v>559</v>
      </c>
      <c r="L16" t="s">
        <v>559</v>
      </c>
      <c r="M16" t="s">
        <v>100</v>
      </c>
      <c r="N16" t="s">
        <v>1146</v>
      </c>
      <c r="O16" t="s">
        <v>100</v>
      </c>
      <c r="Q16" t="s">
        <v>1146</v>
      </c>
      <c r="R16" t="s">
        <v>119</v>
      </c>
      <c r="S16" t="s">
        <v>130</v>
      </c>
      <c r="T16" t="s">
        <v>120</v>
      </c>
      <c r="U16" t="s">
        <v>101</v>
      </c>
      <c r="V16" t="s">
        <v>121</v>
      </c>
      <c r="W16" t="s">
        <v>122</v>
      </c>
      <c r="X16" t="s">
        <v>123</v>
      </c>
      <c r="Y16">
        <v>1</v>
      </c>
      <c r="Z16" t="s">
        <v>1150</v>
      </c>
      <c r="AA16" s="280">
        <v>45706</v>
      </c>
      <c r="AB16" t="s">
        <v>114</v>
      </c>
      <c r="AC16" t="s">
        <v>124</v>
      </c>
      <c r="AD16" s="280">
        <v>45747</v>
      </c>
      <c r="AE16" t="s">
        <v>125</v>
      </c>
      <c r="AF16">
        <v>6</v>
      </c>
      <c r="AG16">
        <v>0</v>
      </c>
      <c r="AH16">
        <v>0</v>
      </c>
      <c r="AI16" t="s">
        <v>126</v>
      </c>
      <c r="AJ16">
        <v>41</v>
      </c>
      <c r="AK16">
        <v>0.11232876712328767</v>
      </c>
      <c r="AL16">
        <v>5.8876712328767127</v>
      </c>
      <c r="AM16">
        <v>0</v>
      </c>
      <c r="AN16">
        <v>5.8876712328767127</v>
      </c>
      <c r="AO16">
        <v>5.8876712328767127</v>
      </c>
      <c r="AP16" t="s">
        <v>1054</v>
      </c>
      <c r="AR16" t="s">
        <v>127</v>
      </c>
      <c r="AS16">
        <v>26291</v>
      </c>
      <c r="AX16">
        <v>26291</v>
      </c>
      <c r="AY16">
        <v>25798.79406392694</v>
      </c>
      <c r="AZ16">
        <v>0</v>
      </c>
      <c r="BC16">
        <v>-492.20593607305932</v>
      </c>
      <c r="BE16" t="s">
        <v>114</v>
      </c>
      <c r="BH16">
        <v>-4381.833333333333</v>
      </c>
      <c r="BI16">
        <v>-365.15277777777777</v>
      </c>
      <c r="BK16" t="s">
        <v>116</v>
      </c>
      <c r="BL16">
        <v>0</v>
      </c>
      <c r="BM16">
        <v>-4874.0392694063921</v>
      </c>
      <c r="BR16">
        <v>0</v>
      </c>
      <c r="BS16">
        <v>21416.960730593608</v>
      </c>
      <c r="BT16">
        <v>-492.20593607305932</v>
      </c>
      <c r="CE16">
        <v>0</v>
      </c>
    </row>
    <row r="17" spans="1:83">
      <c r="A17" t="s">
        <v>1115</v>
      </c>
      <c r="B17" t="s">
        <v>918</v>
      </c>
      <c r="C17" t="s">
        <v>54</v>
      </c>
      <c r="D17" t="s">
        <v>1</v>
      </c>
      <c r="E17" t="s">
        <v>115</v>
      </c>
      <c r="F17" t="s">
        <v>99</v>
      </c>
      <c r="G17" t="s">
        <v>100</v>
      </c>
      <c r="H17" t="s">
        <v>103</v>
      </c>
      <c r="I17" t="s">
        <v>100</v>
      </c>
      <c r="J17" t="s">
        <v>101</v>
      </c>
      <c r="K17" t="s">
        <v>559</v>
      </c>
      <c r="L17" t="s">
        <v>559</v>
      </c>
      <c r="M17" t="s">
        <v>100</v>
      </c>
      <c r="N17" t="s">
        <v>1146</v>
      </c>
      <c r="O17" t="s">
        <v>100</v>
      </c>
      <c r="Q17" t="s">
        <v>1146</v>
      </c>
      <c r="R17" t="s">
        <v>119</v>
      </c>
      <c r="S17" t="s">
        <v>130</v>
      </c>
      <c r="T17" t="s">
        <v>120</v>
      </c>
      <c r="U17" t="s">
        <v>101</v>
      </c>
      <c r="V17" t="s">
        <v>121</v>
      </c>
      <c r="W17" t="s">
        <v>122</v>
      </c>
      <c r="X17" t="s">
        <v>123</v>
      </c>
      <c r="Y17">
        <v>1</v>
      </c>
      <c r="Z17" t="s">
        <v>1150</v>
      </c>
      <c r="AA17" s="280">
        <v>45706</v>
      </c>
      <c r="AB17" t="s">
        <v>114</v>
      </c>
      <c r="AC17" t="s">
        <v>124</v>
      </c>
      <c r="AD17" s="280">
        <v>45747</v>
      </c>
      <c r="AE17" t="s">
        <v>125</v>
      </c>
      <c r="AF17">
        <v>6</v>
      </c>
      <c r="AG17">
        <v>0</v>
      </c>
      <c r="AH17">
        <v>0</v>
      </c>
      <c r="AI17" t="s">
        <v>126</v>
      </c>
      <c r="AJ17">
        <v>41</v>
      </c>
      <c r="AK17">
        <v>0.11232876712328767</v>
      </c>
      <c r="AL17">
        <v>5.8876712328767127</v>
      </c>
      <c r="AM17">
        <v>0</v>
      </c>
      <c r="AN17">
        <v>5.8876712328767127</v>
      </c>
      <c r="AO17">
        <v>5.8876712328767127</v>
      </c>
      <c r="AP17" t="s">
        <v>1054</v>
      </c>
      <c r="AR17" t="s">
        <v>127</v>
      </c>
      <c r="AS17">
        <v>26291</v>
      </c>
      <c r="AX17">
        <v>26291</v>
      </c>
      <c r="AY17">
        <v>25798.79406392694</v>
      </c>
      <c r="AZ17">
        <v>0</v>
      </c>
      <c r="BC17">
        <v>-492.20593607305932</v>
      </c>
      <c r="BE17" t="s">
        <v>114</v>
      </c>
      <c r="BH17">
        <v>-4381.833333333333</v>
      </c>
      <c r="BI17">
        <v>-365.15277777777777</v>
      </c>
      <c r="BK17" t="s">
        <v>116</v>
      </c>
      <c r="BL17">
        <v>0</v>
      </c>
      <c r="BM17">
        <v>-4874.0392694063921</v>
      </c>
      <c r="BR17">
        <v>0</v>
      </c>
      <c r="BS17">
        <v>21416.960730593608</v>
      </c>
      <c r="BT17">
        <v>-492.20593607305932</v>
      </c>
      <c r="CE17">
        <v>0</v>
      </c>
    </row>
    <row r="18" spans="1:83">
      <c r="A18" t="s">
        <v>1114</v>
      </c>
      <c r="B18" t="s">
        <v>918</v>
      </c>
      <c r="C18" t="s">
        <v>54</v>
      </c>
      <c r="D18" t="s">
        <v>1</v>
      </c>
      <c r="E18" t="s">
        <v>115</v>
      </c>
      <c r="F18" t="s">
        <v>99</v>
      </c>
      <c r="G18" t="s">
        <v>100</v>
      </c>
      <c r="H18" t="s">
        <v>103</v>
      </c>
      <c r="I18" t="s">
        <v>100</v>
      </c>
      <c r="J18" t="s">
        <v>101</v>
      </c>
      <c r="K18" t="s">
        <v>559</v>
      </c>
      <c r="L18" t="s">
        <v>559</v>
      </c>
      <c r="M18" t="s">
        <v>100</v>
      </c>
      <c r="N18" t="s">
        <v>1146</v>
      </c>
      <c r="O18" t="s">
        <v>100</v>
      </c>
      <c r="Q18" t="s">
        <v>1146</v>
      </c>
      <c r="R18" t="s">
        <v>119</v>
      </c>
      <c r="S18" t="s">
        <v>130</v>
      </c>
      <c r="T18" t="s">
        <v>120</v>
      </c>
      <c r="U18" t="s">
        <v>101</v>
      </c>
      <c r="V18" t="s">
        <v>121</v>
      </c>
      <c r="W18" t="s">
        <v>122</v>
      </c>
      <c r="X18" t="s">
        <v>123</v>
      </c>
      <c r="Y18">
        <v>1</v>
      </c>
      <c r="Z18" t="s">
        <v>1150</v>
      </c>
      <c r="AA18" s="280">
        <v>45706</v>
      </c>
      <c r="AB18" t="s">
        <v>114</v>
      </c>
      <c r="AC18" t="s">
        <v>124</v>
      </c>
      <c r="AD18" s="280">
        <v>45747</v>
      </c>
      <c r="AE18" t="s">
        <v>125</v>
      </c>
      <c r="AF18">
        <v>6</v>
      </c>
      <c r="AG18">
        <v>0</v>
      </c>
      <c r="AH18">
        <v>0</v>
      </c>
      <c r="AI18" t="s">
        <v>126</v>
      </c>
      <c r="AJ18">
        <v>41</v>
      </c>
      <c r="AK18">
        <v>0.11232876712328767</v>
      </c>
      <c r="AL18">
        <v>5.8876712328767127</v>
      </c>
      <c r="AM18">
        <v>0</v>
      </c>
      <c r="AN18">
        <v>5.8876712328767127</v>
      </c>
      <c r="AO18">
        <v>5.8876712328767127</v>
      </c>
      <c r="AP18" t="s">
        <v>1054</v>
      </c>
      <c r="AR18" t="s">
        <v>127</v>
      </c>
      <c r="AS18">
        <v>26291</v>
      </c>
      <c r="AX18">
        <v>26291</v>
      </c>
      <c r="AY18">
        <v>25798.79406392694</v>
      </c>
      <c r="AZ18">
        <v>0</v>
      </c>
      <c r="BC18">
        <v>-492.20593607305932</v>
      </c>
      <c r="BE18" t="s">
        <v>114</v>
      </c>
      <c r="BH18">
        <v>-4381.833333333333</v>
      </c>
      <c r="BI18">
        <v>-365.15277777777777</v>
      </c>
      <c r="BK18" t="s">
        <v>116</v>
      </c>
      <c r="BL18">
        <v>0</v>
      </c>
      <c r="BM18">
        <v>-4874.0392694063921</v>
      </c>
      <c r="BR18">
        <v>0</v>
      </c>
      <c r="BS18">
        <v>21416.960730593608</v>
      </c>
      <c r="BT18">
        <v>-492.20593607305932</v>
      </c>
      <c r="CE18">
        <v>0</v>
      </c>
    </row>
    <row r="19" spans="1:83">
      <c r="A19" t="s">
        <v>1113</v>
      </c>
      <c r="B19" t="s">
        <v>918</v>
      </c>
      <c r="C19" t="s">
        <v>54</v>
      </c>
      <c r="D19" t="s">
        <v>1</v>
      </c>
      <c r="E19" t="s">
        <v>115</v>
      </c>
      <c r="F19" t="s">
        <v>99</v>
      </c>
      <c r="G19" t="s">
        <v>100</v>
      </c>
      <c r="H19" t="s">
        <v>103</v>
      </c>
      <c r="I19" t="s">
        <v>100</v>
      </c>
      <c r="J19" t="s">
        <v>101</v>
      </c>
      <c r="K19" t="s">
        <v>559</v>
      </c>
      <c r="L19" t="s">
        <v>559</v>
      </c>
      <c r="M19" t="s">
        <v>100</v>
      </c>
      <c r="N19" t="s">
        <v>1146</v>
      </c>
      <c r="O19" t="s">
        <v>100</v>
      </c>
      <c r="Q19" t="s">
        <v>1146</v>
      </c>
      <c r="R19" t="s">
        <v>119</v>
      </c>
      <c r="S19" t="s">
        <v>130</v>
      </c>
      <c r="T19" t="s">
        <v>120</v>
      </c>
      <c r="U19" t="s">
        <v>101</v>
      </c>
      <c r="V19" t="s">
        <v>121</v>
      </c>
      <c r="W19" t="s">
        <v>122</v>
      </c>
      <c r="X19" t="s">
        <v>123</v>
      </c>
      <c r="Y19">
        <v>1</v>
      </c>
      <c r="Z19" t="s">
        <v>1150</v>
      </c>
      <c r="AA19" s="280">
        <v>45706</v>
      </c>
      <c r="AB19" t="s">
        <v>114</v>
      </c>
      <c r="AC19" t="s">
        <v>124</v>
      </c>
      <c r="AD19" s="280">
        <v>45747</v>
      </c>
      <c r="AE19" t="s">
        <v>125</v>
      </c>
      <c r="AF19">
        <v>6</v>
      </c>
      <c r="AG19">
        <v>0</v>
      </c>
      <c r="AH19">
        <v>0</v>
      </c>
      <c r="AI19" t="s">
        <v>126</v>
      </c>
      <c r="AJ19">
        <v>41</v>
      </c>
      <c r="AK19">
        <v>0.11232876712328767</v>
      </c>
      <c r="AL19">
        <v>5.8876712328767127</v>
      </c>
      <c r="AM19">
        <v>0</v>
      </c>
      <c r="AN19">
        <v>5.8876712328767127</v>
      </c>
      <c r="AO19">
        <v>5.8876712328767127</v>
      </c>
      <c r="AP19" t="s">
        <v>1054</v>
      </c>
      <c r="AR19" t="s">
        <v>127</v>
      </c>
      <c r="AS19">
        <v>26291</v>
      </c>
      <c r="AX19">
        <v>26291</v>
      </c>
      <c r="AY19">
        <v>25798.79406392694</v>
      </c>
      <c r="AZ19">
        <v>0</v>
      </c>
      <c r="BC19">
        <v>-492.20593607305932</v>
      </c>
      <c r="BE19" t="s">
        <v>114</v>
      </c>
      <c r="BH19">
        <v>-4381.833333333333</v>
      </c>
      <c r="BI19">
        <v>-365.15277777777777</v>
      </c>
      <c r="BK19" t="s">
        <v>116</v>
      </c>
      <c r="BL19">
        <v>0</v>
      </c>
      <c r="BM19">
        <v>-4874.0392694063921</v>
      </c>
      <c r="BR19">
        <v>0</v>
      </c>
      <c r="BS19">
        <v>21416.960730593608</v>
      </c>
      <c r="BT19">
        <v>-492.20593607305932</v>
      </c>
      <c r="CE19">
        <v>0</v>
      </c>
    </row>
    <row r="20" spans="1:83">
      <c r="A20" t="s">
        <v>1112</v>
      </c>
      <c r="B20" t="s">
        <v>918</v>
      </c>
      <c r="C20" t="s">
        <v>54</v>
      </c>
      <c r="D20" t="s">
        <v>1</v>
      </c>
      <c r="E20" t="s">
        <v>115</v>
      </c>
      <c r="F20" t="s">
        <v>99</v>
      </c>
      <c r="G20" t="s">
        <v>100</v>
      </c>
      <c r="H20" t="s">
        <v>103</v>
      </c>
      <c r="I20" t="s">
        <v>100</v>
      </c>
      <c r="J20" t="s">
        <v>101</v>
      </c>
      <c r="K20" t="s">
        <v>559</v>
      </c>
      <c r="L20" t="s">
        <v>559</v>
      </c>
      <c r="M20" t="s">
        <v>100</v>
      </c>
      <c r="N20" t="s">
        <v>1146</v>
      </c>
      <c r="O20" t="s">
        <v>100</v>
      </c>
      <c r="Q20" t="s">
        <v>1146</v>
      </c>
      <c r="R20" t="s">
        <v>119</v>
      </c>
      <c r="S20" t="s">
        <v>130</v>
      </c>
      <c r="T20" t="s">
        <v>120</v>
      </c>
      <c r="U20" t="s">
        <v>101</v>
      </c>
      <c r="V20" t="s">
        <v>121</v>
      </c>
      <c r="W20" t="s">
        <v>122</v>
      </c>
      <c r="X20" t="s">
        <v>123</v>
      </c>
      <c r="Y20">
        <v>1</v>
      </c>
      <c r="Z20" t="s">
        <v>1150</v>
      </c>
      <c r="AA20" s="280">
        <v>45706</v>
      </c>
      <c r="AB20" t="s">
        <v>114</v>
      </c>
      <c r="AC20" t="s">
        <v>124</v>
      </c>
      <c r="AD20" s="280">
        <v>45747</v>
      </c>
      <c r="AE20" t="s">
        <v>125</v>
      </c>
      <c r="AF20">
        <v>6</v>
      </c>
      <c r="AG20">
        <v>0</v>
      </c>
      <c r="AH20">
        <v>0</v>
      </c>
      <c r="AI20" t="s">
        <v>126</v>
      </c>
      <c r="AJ20">
        <v>41</v>
      </c>
      <c r="AK20">
        <v>0.11232876712328767</v>
      </c>
      <c r="AL20">
        <v>5.8876712328767127</v>
      </c>
      <c r="AM20">
        <v>0</v>
      </c>
      <c r="AN20">
        <v>5.8876712328767127</v>
      </c>
      <c r="AO20">
        <v>5.8876712328767127</v>
      </c>
      <c r="AP20" t="s">
        <v>1054</v>
      </c>
      <c r="AR20" t="s">
        <v>127</v>
      </c>
      <c r="AS20">
        <v>26291</v>
      </c>
      <c r="AX20">
        <v>26291</v>
      </c>
      <c r="AY20">
        <v>25798.79406392694</v>
      </c>
      <c r="AZ20">
        <v>0</v>
      </c>
      <c r="BC20">
        <v>-492.20593607305932</v>
      </c>
      <c r="BE20" t="s">
        <v>114</v>
      </c>
      <c r="BH20">
        <v>-4381.833333333333</v>
      </c>
      <c r="BI20">
        <v>-365.15277777777777</v>
      </c>
      <c r="BK20" t="s">
        <v>116</v>
      </c>
      <c r="BL20">
        <v>0</v>
      </c>
      <c r="BM20">
        <v>-4874.0392694063921</v>
      </c>
      <c r="BR20">
        <v>0</v>
      </c>
      <c r="BS20">
        <v>21416.960730593608</v>
      </c>
      <c r="BT20">
        <v>-492.20593607305932</v>
      </c>
      <c r="CA20" t="s">
        <v>1139</v>
      </c>
      <c r="CE20">
        <v>0</v>
      </c>
    </row>
    <row r="21" spans="1:83">
      <c r="A21" t="s">
        <v>1111</v>
      </c>
      <c r="B21" t="s">
        <v>918</v>
      </c>
      <c r="C21" t="s">
        <v>54</v>
      </c>
      <c r="D21" t="s">
        <v>1</v>
      </c>
      <c r="E21" t="s">
        <v>115</v>
      </c>
      <c r="F21" t="s">
        <v>99</v>
      </c>
      <c r="G21" t="s">
        <v>100</v>
      </c>
      <c r="H21" t="s">
        <v>103</v>
      </c>
      <c r="I21" t="s">
        <v>100</v>
      </c>
      <c r="J21" t="s">
        <v>101</v>
      </c>
      <c r="K21" t="s">
        <v>559</v>
      </c>
      <c r="L21" t="s">
        <v>559</v>
      </c>
      <c r="M21" t="s">
        <v>100</v>
      </c>
      <c r="N21" t="s">
        <v>1146</v>
      </c>
      <c r="O21" t="s">
        <v>100</v>
      </c>
      <c r="Q21" t="s">
        <v>1146</v>
      </c>
      <c r="R21" t="s">
        <v>119</v>
      </c>
      <c r="S21" t="s">
        <v>130</v>
      </c>
      <c r="T21" t="s">
        <v>120</v>
      </c>
      <c r="U21" t="s">
        <v>101</v>
      </c>
      <c r="V21" t="s">
        <v>121</v>
      </c>
      <c r="W21" t="s">
        <v>122</v>
      </c>
      <c r="X21" t="s">
        <v>123</v>
      </c>
      <c r="Y21">
        <v>1</v>
      </c>
      <c r="Z21" t="s">
        <v>1150</v>
      </c>
      <c r="AA21" s="280">
        <v>45706</v>
      </c>
      <c r="AB21" t="s">
        <v>114</v>
      </c>
      <c r="AC21" t="s">
        <v>124</v>
      </c>
      <c r="AD21" s="280">
        <v>45747</v>
      </c>
      <c r="AE21" t="s">
        <v>125</v>
      </c>
      <c r="AF21">
        <v>6</v>
      </c>
      <c r="AG21">
        <v>0</v>
      </c>
      <c r="AH21">
        <v>0</v>
      </c>
      <c r="AI21" t="s">
        <v>126</v>
      </c>
      <c r="AJ21">
        <v>41</v>
      </c>
      <c r="AK21">
        <v>0.11232876712328767</v>
      </c>
      <c r="AL21">
        <v>5.8876712328767127</v>
      </c>
      <c r="AM21">
        <v>0</v>
      </c>
      <c r="AN21">
        <v>5.8876712328767127</v>
      </c>
      <c r="AO21">
        <v>5.8876712328767127</v>
      </c>
      <c r="AP21" t="s">
        <v>1054</v>
      </c>
      <c r="AR21" t="s">
        <v>127</v>
      </c>
      <c r="AS21">
        <v>26291</v>
      </c>
      <c r="AX21">
        <v>26291</v>
      </c>
      <c r="AY21">
        <v>25798.79406392694</v>
      </c>
      <c r="AZ21">
        <v>0</v>
      </c>
      <c r="BC21">
        <v>-492.20593607305932</v>
      </c>
      <c r="BE21" t="s">
        <v>114</v>
      </c>
      <c r="BH21">
        <v>-4381.833333333333</v>
      </c>
      <c r="BI21">
        <v>-365.15277777777777</v>
      </c>
      <c r="BK21" t="s">
        <v>116</v>
      </c>
      <c r="BL21">
        <v>0</v>
      </c>
      <c r="BM21">
        <v>-4874.0392694063921</v>
      </c>
      <c r="BR21">
        <v>0</v>
      </c>
      <c r="BS21">
        <v>21416.960730593608</v>
      </c>
      <c r="BT21">
        <v>-492.20593607305932</v>
      </c>
      <c r="CA21" t="s">
        <v>1138</v>
      </c>
      <c r="CE21">
        <v>0</v>
      </c>
    </row>
    <row r="22" spans="1:83">
      <c r="A22" t="s">
        <v>1110</v>
      </c>
      <c r="B22" t="s">
        <v>918</v>
      </c>
      <c r="C22" t="s">
        <v>54</v>
      </c>
      <c r="D22" t="s">
        <v>1</v>
      </c>
      <c r="E22" t="s">
        <v>115</v>
      </c>
      <c r="F22" t="s">
        <v>99</v>
      </c>
      <c r="G22" t="s">
        <v>100</v>
      </c>
      <c r="H22" t="s">
        <v>103</v>
      </c>
      <c r="I22" t="s">
        <v>100</v>
      </c>
      <c r="J22" t="s">
        <v>101</v>
      </c>
      <c r="K22" t="s">
        <v>559</v>
      </c>
      <c r="L22" t="s">
        <v>559</v>
      </c>
      <c r="M22" t="s">
        <v>100</v>
      </c>
      <c r="N22" t="s">
        <v>1146</v>
      </c>
      <c r="O22" t="s">
        <v>100</v>
      </c>
      <c r="Q22" t="s">
        <v>1146</v>
      </c>
      <c r="R22" t="s">
        <v>119</v>
      </c>
      <c r="S22" t="s">
        <v>130</v>
      </c>
      <c r="T22" t="s">
        <v>120</v>
      </c>
      <c r="U22" t="s">
        <v>101</v>
      </c>
      <c r="V22" t="s">
        <v>121</v>
      </c>
      <c r="W22" t="s">
        <v>122</v>
      </c>
      <c r="X22" t="s">
        <v>123</v>
      </c>
      <c r="Y22">
        <v>1</v>
      </c>
      <c r="Z22" t="s">
        <v>1150</v>
      </c>
      <c r="AA22" s="280">
        <v>45706</v>
      </c>
      <c r="AB22" t="s">
        <v>114</v>
      </c>
      <c r="AC22" t="s">
        <v>124</v>
      </c>
      <c r="AD22" s="280">
        <v>45747</v>
      </c>
      <c r="AE22" t="s">
        <v>125</v>
      </c>
      <c r="AF22">
        <v>6</v>
      </c>
      <c r="AG22">
        <v>0</v>
      </c>
      <c r="AH22">
        <v>0</v>
      </c>
      <c r="AI22" t="s">
        <v>126</v>
      </c>
      <c r="AJ22">
        <v>41</v>
      </c>
      <c r="AK22">
        <v>0.11232876712328767</v>
      </c>
      <c r="AL22">
        <v>5.8876712328767127</v>
      </c>
      <c r="AM22">
        <v>0</v>
      </c>
      <c r="AN22">
        <v>5.8876712328767127</v>
      </c>
      <c r="AO22">
        <v>5.8876712328767127</v>
      </c>
      <c r="AP22" t="s">
        <v>1054</v>
      </c>
      <c r="AR22" t="s">
        <v>127</v>
      </c>
      <c r="AS22">
        <v>26291</v>
      </c>
      <c r="AX22">
        <v>26291</v>
      </c>
      <c r="AY22">
        <v>25798.79406392694</v>
      </c>
      <c r="AZ22">
        <v>0</v>
      </c>
      <c r="BC22">
        <v>-492.20593607305932</v>
      </c>
      <c r="BE22" t="s">
        <v>114</v>
      </c>
      <c r="BH22">
        <v>-4381.833333333333</v>
      </c>
      <c r="BI22">
        <v>-365.15277777777777</v>
      </c>
      <c r="BK22" t="s">
        <v>116</v>
      </c>
      <c r="BL22">
        <v>0</v>
      </c>
      <c r="BM22">
        <v>-4874.0392694063921</v>
      </c>
      <c r="BR22">
        <v>0</v>
      </c>
      <c r="BS22">
        <v>21416.960730593608</v>
      </c>
      <c r="BT22">
        <v>-492.20593607305932</v>
      </c>
      <c r="CA22" t="s">
        <v>1137</v>
      </c>
      <c r="CE22">
        <v>0</v>
      </c>
    </row>
    <row r="23" spans="1:83">
      <c r="A23" t="s">
        <v>1109</v>
      </c>
      <c r="B23" t="s">
        <v>918</v>
      </c>
      <c r="C23" t="s">
        <v>54</v>
      </c>
      <c r="D23" t="s">
        <v>1</v>
      </c>
      <c r="E23" t="s">
        <v>115</v>
      </c>
      <c r="F23" t="s">
        <v>99</v>
      </c>
      <c r="G23" t="s">
        <v>100</v>
      </c>
      <c r="H23" t="s">
        <v>103</v>
      </c>
      <c r="I23" t="s">
        <v>100</v>
      </c>
      <c r="J23" t="s">
        <v>101</v>
      </c>
      <c r="K23" t="s">
        <v>559</v>
      </c>
      <c r="L23" t="s">
        <v>559</v>
      </c>
      <c r="M23" t="s">
        <v>100</v>
      </c>
      <c r="N23" t="s">
        <v>1146</v>
      </c>
      <c r="O23" t="s">
        <v>100</v>
      </c>
      <c r="Q23" t="s">
        <v>1146</v>
      </c>
      <c r="R23" t="s">
        <v>119</v>
      </c>
      <c r="S23" t="s">
        <v>130</v>
      </c>
      <c r="T23" t="s">
        <v>120</v>
      </c>
      <c r="U23" t="s">
        <v>101</v>
      </c>
      <c r="V23" t="s">
        <v>121</v>
      </c>
      <c r="W23" t="s">
        <v>122</v>
      </c>
      <c r="X23" t="s">
        <v>123</v>
      </c>
      <c r="Y23">
        <v>1</v>
      </c>
      <c r="Z23" t="s">
        <v>1150</v>
      </c>
      <c r="AA23" s="280">
        <v>45706</v>
      </c>
      <c r="AB23" t="s">
        <v>114</v>
      </c>
      <c r="AC23" t="s">
        <v>124</v>
      </c>
      <c r="AD23" s="280">
        <v>45747</v>
      </c>
      <c r="AE23" t="s">
        <v>125</v>
      </c>
      <c r="AF23">
        <v>6</v>
      </c>
      <c r="AG23">
        <v>0</v>
      </c>
      <c r="AH23">
        <v>0</v>
      </c>
      <c r="AI23" t="s">
        <v>126</v>
      </c>
      <c r="AJ23">
        <v>41</v>
      </c>
      <c r="AK23">
        <v>0.11232876712328767</v>
      </c>
      <c r="AL23">
        <v>5.8876712328767127</v>
      </c>
      <c r="AM23">
        <v>0</v>
      </c>
      <c r="AN23">
        <v>5.8876712328767127</v>
      </c>
      <c r="AO23">
        <v>5.8876712328767127</v>
      </c>
      <c r="AP23" t="s">
        <v>1054</v>
      </c>
      <c r="AR23" t="s">
        <v>127</v>
      </c>
      <c r="AS23">
        <v>26291</v>
      </c>
      <c r="AX23">
        <v>26291</v>
      </c>
      <c r="AY23">
        <v>25798.79406392694</v>
      </c>
      <c r="AZ23">
        <v>0</v>
      </c>
      <c r="BC23">
        <v>-492.20593607305932</v>
      </c>
      <c r="BE23" t="s">
        <v>114</v>
      </c>
      <c r="BH23">
        <v>-4381.833333333333</v>
      </c>
      <c r="BI23">
        <v>-365.15277777777777</v>
      </c>
      <c r="BK23" t="s">
        <v>116</v>
      </c>
      <c r="BL23">
        <v>0</v>
      </c>
      <c r="BM23">
        <v>-4874.0392694063921</v>
      </c>
      <c r="BR23">
        <v>0</v>
      </c>
      <c r="BS23">
        <v>21416.960730593608</v>
      </c>
      <c r="BT23">
        <v>-492.20593607305932</v>
      </c>
      <c r="CE23">
        <v>0</v>
      </c>
    </row>
    <row r="24" spans="1:83">
      <c r="A24" t="s">
        <v>1108</v>
      </c>
      <c r="B24" t="s">
        <v>918</v>
      </c>
      <c r="C24" t="s">
        <v>54</v>
      </c>
      <c r="D24" t="s">
        <v>1</v>
      </c>
      <c r="E24" t="s">
        <v>115</v>
      </c>
      <c r="F24" t="s">
        <v>99</v>
      </c>
      <c r="G24" t="s">
        <v>100</v>
      </c>
      <c r="H24" t="s">
        <v>103</v>
      </c>
      <c r="I24" t="s">
        <v>100</v>
      </c>
      <c r="J24" t="s">
        <v>101</v>
      </c>
      <c r="K24" t="s">
        <v>559</v>
      </c>
      <c r="L24" t="s">
        <v>559</v>
      </c>
      <c r="M24" t="s">
        <v>100</v>
      </c>
      <c r="N24" t="s">
        <v>1146</v>
      </c>
      <c r="O24" t="s">
        <v>100</v>
      </c>
      <c r="Q24" t="s">
        <v>1146</v>
      </c>
      <c r="R24" t="s">
        <v>119</v>
      </c>
      <c r="S24" t="s">
        <v>130</v>
      </c>
      <c r="T24" t="s">
        <v>120</v>
      </c>
      <c r="U24" t="s">
        <v>101</v>
      </c>
      <c r="V24" t="s">
        <v>121</v>
      </c>
      <c r="W24" t="s">
        <v>122</v>
      </c>
      <c r="X24" t="s">
        <v>123</v>
      </c>
      <c r="Y24">
        <v>1</v>
      </c>
      <c r="Z24" t="s">
        <v>1150</v>
      </c>
      <c r="AA24" s="280">
        <v>45706</v>
      </c>
      <c r="AB24" t="s">
        <v>114</v>
      </c>
      <c r="AC24" t="s">
        <v>124</v>
      </c>
      <c r="AD24" s="280">
        <v>45747</v>
      </c>
      <c r="AE24" t="s">
        <v>125</v>
      </c>
      <c r="AF24">
        <v>6</v>
      </c>
      <c r="AG24">
        <v>0</v>
      </c>
      <c r="AH24">
        <v>0</v>
      </c>
      <c r="AI24" t="s">
        <v>126</v>
      </c>
      <c r="AJ24">
        <v>41</v>
      </c>
      <c r="AK24">
        <v>0.11232876712328767</v>
      </c>
      <c r="AL24">
        <v>5.8876712328767127</v>
      </c>
      <c r="AM24">
        <v>0</v>
      </c>
      <c r="AN24">
        <v>5.8876712328767127</v>
      </c>
      <c r="AO24">
        <v>5.8876712328767127</v>
      </c>
      <c r="AP24" t="s">
        <v>1054</v>
      </c>
      <c r="AR24" t="s">
        <v>127</v>
      </c>
      <c r="AS24">
        <v>26291</v>
      </c>
      <c r="AX24">
        <v>26291</v>
      </c>
      <c r="AY24">
        <v>25798.79406392694</v>
      </c>
      <c r="AZ24">
        <v>0</v>
      </c>
      <c r="BC24">
        <v>-492.20593607305932</v>
      </c>
      <c r="BE24" t="s">
        <v>114</v>
      </c>
      <c r="BH24">
        <v>-4381.833333333333</v>
      </c>
      <c r="BI24">
        <v>-365.15277777777777</v>
      </c>
      <c r="BK24" t="s">
        <v>116</v>
      </c>
      <c r="BL24">
        <v>0</v>
      </c>
      <c r="BM24">
        <v>-4874.0392694063921</v>
      </c>
      <c r="BR24">
        <v>0</v>
      </c>
      <c r="BS24">
        <v>21416.960730593608</v>
      </c>
      <c r="BT24">
        <v>-492.20593607305932</v>
      </c>
      <c r="CE24">
        <v>0</v>
      </c>
    </row>
    <row r="25" spans="1:83">
      <c r="A25" t="s">
        <v>1107</v>
      </c>
      <c r="B25" t="s">
        <v>918</v>
      </c>
      <c r="C25" t="s">
        <v>54</v>
      </c>
      <c r="D25" t="s">
        <v>1</v>
      </c>
      <c r="E25" t="s">
        <v>115</v>
      </c>
      <c r="F25" t="s">
        <v>99</v>
      </c>
      <c r="G25" t="s">
        <v>100</v>
      </c>
      <c r="H25" t="s">
        <v>103</v>
      </c>
      <c r="I25" t="s">
        <v>100</v>
      </c>
      <c r="J25" t="s">
        <v>101</v>
      </c>
      <c r="K25" t="s">
        <v>559</v>
      </c>
      <c r="L25" t="s">
        <v>559</v>
      </c>
      <c r="M25" t="s">
        <v>100</v>
      </c>
      <c r="N25" t="s">
        <v>1146</v>
      </c>
      <c r="O25" t="s">
        <v>100</v>
      </c>
      <c r="Q25" t="s">
        <v>1146</v>
      </c>
      <c r="R25" t="s">
        <v>119</v>
      </c>
      <c r="S25" t="s">
        <v>130</v>
      </c>
      <c r="T25" t="s">
        <v>120</v>
      </c>
      <c r="U25" t="s">
        <v>101</v>
      </c>
      <c r="V25" t="s">
        <v>121</v>
      </c>
      <c r="W25" t="s">
        <v>122</v>
      </c>
      <c r="X25" t="s">
        <v>123</v>
      </c>
      <c r="Y25">
        <v>1</v>
      </c>
      <c r="Z25" t="s">
        <v>1150</v>
      </c>
      <c r="AA25" s="280">
        <v>45706</v>
      </c>
      <c r="AB25" t="s">
        <v>114</v>
      </c>
      <c r="AC25" t="s">
        <v>124</v>
      </c>
      <c r="AD25" s="280">
        <v>45747</v>
      </c>
      <c r="AE25" t="s">
        <v>125</v>
      </c>
      <c r="AF25">
        <v>6</v>
      </c>
      <c r="AG25">
        <v>0</v>
      </c>
      <c r="AH25">
        <v>0</v>
      </c>
      <c r="AI25" t="s">
        <v>126</v>
      </c>
      <c r="AJ25">
        <v>41</v>
      </c>
      <c r="AK25">
        <v>0.11232876712328767</v>
      </c>
      <c r="AL25">
        <v>5.8876712328767127</v>
      </c>
      <c r="AM25">
        <v>0</v>
      </c>
      <c r="AN25">
        <v>5.8876712328767127</v>
      </c>
      <c r="AO25">
        <v>5.8876712328767127</v>
      </c>
      <c r="AP25" t="s">
        <v>1054</v>
      </c>
      <c r="AR25" t="s">
        <v>127</v>
      </c>
      <c r="AS25">
        <v>26291</v>
      </c>
      <c r="AX25">
        <v>26291</v>
      </c>
      <c r="AY25">
        <v>25798.79406392694</v>
      </c>
      <c r="AZ25">
        <v>0</v>
      </c>
      <c r="BC25">
        <v>-492.20593607305932</v>
      </c>
      <c r="BE25" t="s">
        <v>114</v>
      </c>
      <c r="BH25">
        <v>-4381.833333333333</v>
      </c>
      <c r="BI25">
        <v>-365.15277777777777</v>
      </c>
      <c r="BK25" t="s">
        <v>116</v>
      </c>
      <c r="BL25">
        <v>0</v>
      </c>
      <c r="BM25">
        <v>-4874.0392694063921</v>
      </c>
      <c r="BR25">
        <v>0</v>
      </c>
      <c r="BS25">
        <v>21416.960730593608</v>
      </c>
      <c r="BT25">
        <v>-492.20593607305932</v>
      </c>
      <c r="CE25">
        <v>0</v>
      </c>
    </row>
    <row r="26" spans="1:83">
      <c r="A26" t="s">
        <v>1106</v>
      </c>
      <c r="B26" t="s">
        <v>875</v>
      </c>
      <c r="C26" t="s">
        <v>54</v>
      </c>
      <c r="D26" t="s">
        <v>1</v>
      </c>
      <c r="E26" t="s">
        <v>115</v>
      </c>
      <c r="F26" t="s">
        <v>99</v>
      </c>
      <c r="G26" t="s">
        <v>100</v>
      </c>
      <c r="H26" t="s">
        <v>103</v>
      </c>
      <c r="I26" t="s">
        <v>100</v>
      </c>
      <c r="J26" t="s">
        <v>101</v>
      </c>
      <c r="K26" t="s">
        <v>559</v>
      </c>
      <c r="L26" t="s">
        <v>559</v>
      </c>
      <c r="M26" t="s">
        <v>100</v>
      </c>
      <c r="N26" t="s">
        <v>1147</v>
      </c>
      <c r="O26" t="s">
        <v>100</v>
      </c>
      <c r="Q26" t="s">
        <v>1147</v>
      </c>
      <c r="R26" t="s">
        <v>119</v>
      </c>
      <c r="S26" t="s">
        <v>130</v>
      </c>
      <c r="T26" t="s">
        <v>120</v>
      </c>
      <c r="U26" t="s">
        <v>101</v>
      </c>
      <c r="V26" t="s">
        <v>121</v>
      </c>
      <c r="W26" t="s">
        <v>122</v>
      </c>
      <c r="X26" t="s">
        <v>123</v>
      </c>
      <c r="Y26">
        <v>1</v>
      </c>
      <c r="AB26" t="s">
        <v>114</v>
      </c>
      <c r="AC26" t="s">
        <v>124</v>
      </c>
      <c r="AD26" s="280">
        <v>45747</v>
      </c>
      <c r="AE26" t="s">
        <v>125</v>
      </c>
      <c r="AF26">
        <v>6</v>
      </c>
      <c r="AG26">
        <v>0</v>
      </c>
      <c r="AH26">
        <v>0</v>
      </c>
      <c r="AI26" t="s">
        <v>126</v>
      </c>
      <c r="AJ26">
        <v>45747</v>
      </c>
      <c r="AK26">
        <v>125.33424657534246</v>
      </c>
      <c r="AL26">
        <v>-119.33424657534246</v>
      </c>
      <c r="AM26">
        <v>0</v>
      </c>
      <c r="AN26">
        <v>-119.33424657534246</v>
      </c>
      <c r="AO26">
        <v>-119.33424657534246</v>
      </c>
      <c r="AP26" t="s">
        <v>1050</v>
      </c>
      <c r="AR26" t="s">
        <v>127</v>
      </c>
      <c r="AY26">
        <v>0</v>
      </c>
      <c r="AZ26">
        <v>0</v>
      </c>
      <c r="BC26">
        <v>0</v>
      </c>
      <c r="BE26" t="s">
        <v>114</v>
      </c>
      <c r="BH26">
        <v>0</v>
      </c>
      <c r="BI26">
        <v>0</v>
      </c>
      <c r="BK26" t="s">
        <v>116</v>
      </c>
      <c r="BL26">
        <v>0</v>
      </c>
      <c r="BM26">
        <v>0</v>
      </c>
      <c r="BR26">
        <v>0</v>
      </c>
      <c r="BS26">
        <v>0</v>
      </c>
      <c r="BT26">
        <v>0</v>
      </c>
      <c r="CE26">
        <v>0</v>
      </c>
    </row>
    <row r="27" spans="1:83">
      <c r="A27" t="s">
        <v>1105</v>
      </c>
      <c r="B27" t="s">
        <v>918</v>
      </c>
      <c r="C27" t="s">
        <v>54</v>
      </c>
      <c r="D27" t="s">
        <v>1</v>
      </c>
      <c r="E27" t="s">
        <v>115</v>
      </c>
      <c r="F27" t="s">
        <v>99</v>
      </c>
      <c r="G27" t="s">
        <v>100</v>
      </c>
      <c r="H27" t="s">
        <v>103</v>
      </c>
      <c r="I27" t="s">
        <v>100</v>
      </c>
      <c r="J27" t="s">
        <v>101</v>
      </c>
      <c r="K27" t="s">
        <v>559</v>
      </c>
      <c r="L27" t="s">
        <v>559</v>
      </c>
      <c r="M27" t="s">
        <v>100</v>
      </c>
      <c r="N27" t="s">
        <v>1146</v>
      </c>
      <c r="O27" t="s">
        <v>100</v>
      </c>
      <c r="Q27" t="s">
        <v>1146</v>
      </c>
      <c r="R27" t="s">
        <v>119</v>
      </c>
      <c r="S27" t="s">
        <v>130</v>
      </c>
      <c r="T27" t="s">
        <v>120</v>
      </c>
      <c r="U27" t="s">
        <v>101</v>
      </c>
      <c r="V27" t="s">
        <v>121</v>
      </c>
      <c r="W27" t="s">
        <v>122</v>
      </c>
      <c r="X27" t="s">
        <v>123</v>
      </c>
      <c r="Y27">
        <v>1</v>
      </c>
      <c r="Z27" t="s">
        <v>1150</v>
      </c>
      <c r="AA27" s="280">
        <v>45706</v>
      </c>
      <c r="AB27" t="s">
        <v>114</v>
      </c>
      <c r="AC27" t="s">
        <v>124</v>
      </c>
      <c r="AD27" s="280">
        <v>45747</v>
      </c>
      <c r="AE27" t="s">
        <v>125</v>
      </c>
      <c r="AF27">
        <v>6</v>
      </c>
      <c r="AG27">
        <v>0</v>
      </c>
      <c r="AH27">
        <v>0</v>
      </c>
      <c r="AI27" t="s">
        <v>126</v>
      </c>
      <c r="AJ27">
        <v>41</v>
      </c>
      <c r="AK27">
        <v>0.11232876712328767</v>
      </c>
      <c r="AL27">
        <v>5.8876712328767127</v>
      </c>
      <c r="AM27">
        <v>0</v>
      </c>
      <c r="AN27">
        <v>5.8876712328767127</v>
      </c>
      <c r="AO27">
        <v>5.8876712328767127</v>
      </c>
      <c r="AP27" t="s">
        <v>1054</v>
      </c>
      <c r="AR27" t="s">
        <v>127</v>
      </c>
      <c r="AS27">
        <v>26291</v>
      </c>
      <c r="AX27">
        <v>26291</v>
      </c>
      <c r="AY27">
        <v>25798.79406392694</v>
      </c>
      <c r="AZ27">
        <v>0</v>
      </c>
      <c r="BC27">
        <v>-492.20593607305932</v>
      </c>
      <c r="BE27" t="s">
        <v>114</v>
      </c>
      <c r="BH27">
        <v>-4381.833333333333</v>
      </c>
      <c r="BI27">
        <v>-365.15277777777777</v>
      </c>
      <c r="BK27" t="s">
        <v>116</v>
      </c>
      <c r="BL27">
        <v>0</v>
      </c>
      <c r="BM27">
        <v>-4874.0392694063921</v>
      </c>
      <c r="BR27">
        <v>0</v>
      </c>
      <c r="BS27">
        <v>21416.960730593608</v>
      </c>
      <c r="BT27">
        <v>-492.20593607305932</v>
      </c>
      <c r="CE27">
        <v>0</v>
      </c>
    </row>
    <row r="28" spans="1:83">
      <c r="A28" t="s">
        <v>1104</v>
      </c>
      <c r="B28" t="s">
        <v>851</v>
      </c>
      <c r="C28" t="s">
        <v>54</v>
      </c>
      <c r="D28" t="s">
        <v>1</v>
      </c>
      <c r="E28" t="s">
        <v>115</v>
      </c>
      <c r="F28" t="s">
        <v>99</v>
      </c>
      <c r="G28" t="s">
        <v>100</v>
      </c>
      <c r="H28" t="s">
        <v>103</v>
      </c>
      <c r="I28" t="s">
        <v>100</v>
      </c>
      <c r="J28" t="s">
        <v>101</v>
      </c>
      <c r="K28" t="s">
        <v>559</v>
      </c>
      <c r="L28" t="s">
        <v>559</v>
      </c>
      <c r="M28" t="s">
        <v>100</v>
      </c>
      <c r="N28" t="s">
        <v>840</v>
      </c>
      <c r="O28" t="s">
        <v>100</v>
      </c>
      <c r="Q28" t="s">
        <v>840</v>
      </c>
      <c r="R28" t="s">
        <v>119</v>
      </c>
      <c r="S28" t="s">
        <v>130</v>
      </c>
      <c r="T28" t="s">
        <v>120</v>
      </c>
      <c r="U28" t="s">
        <v>101</v>
      </c>
      <c r="V28" t="s">
        <v>121</v>
      </c>
      <c r="W28" t="s">
        <v>122</v>
      </c>
      <c r="X28" t="s">
        <v>123</v>
      </c>
      <c r="Y28">
        <v>1</v>
      </c>
      <c r="Z28" t="s">
        <v>1150</v>
      </c>
      <c r="AA28" s="280">
        <v>45706</v>
      </c>
      <c r="AB28" t="s">
        <v>114</v>
      </c>
      <c r="AC28" t="s">
        <v>124</v>
      </c>
      <c r="AD28" s="280">
        <v>45747</v>
      </c>
      <c r="AE28" t="s">
        <v>125</v>
      </c>
      <c r="AF28">
        <v>6</v>
      </c>
      <c r="AG28">
        <v>0</v>
      </c>
      <c r="AH28">
        <v>0</v>
      </c>
      <c r="AI28" t="s">
        <v>126</v>
      </c>
      <c r="AJ28">
        <v>41</v>
      </c>
      <c r="AK28">
        <v>0.11232876712328767</v>
      </c>
      <c r="AL28">
        <v>5.8876712328767127</v>
      </c>
      <c r="AM28">
        <v>0</v>
      </c>
      <c r="AN28">
        <v>5.8876712328767127</v>
      </c>
      <c r="AO28">
        <v>5.8876712328767127</v>
      </c>
      <c r="AP28" t="s">
        <v>1054</v>
      </c>
      <c r="AR28" t="s">
        <v>127</v>
      </c>
      <c r="AS28">
        <v>26291</v>
      </c>
      <c r="AX28">
        <v>26291</v>
      </c>
      <c r="AY28">
        <v>25798.79406392694</v>
      </c>
      <c r="AZ28">
        <v>0</v>
      </c>
      <c r="BC28">
        <v>-492.20593607305932</v>
      </c>
      <c r="BE28" t="s">
        <v>114</v>
      </c>
      <c r="BH28">
        <v>-4381.833333333333</v>
      </c>
      <c r="BI28">
        <v>-365.15277777777777</v>
      </c>
      <c r="BK28" t="s">
        <v>116</v>
      </c>
      <c r="BL28">
        <v>0</v>
      </c>
      <c r="BM28">
        <v>-4874.0392694063921</v>
      </c>
      <c r="BR28">
        <v>0</v>
      </c>
      <c r="BS28">
        <v>21416.960730593608</v>
      </c>
      <c r="BT28">
        <v>-492.20593607305932</v>
      </c>
      <c r="CE28">
        <v>0</v>
      </c>
    </row>
    <row r="29" spans="1:83">
      <c r="A29" t="s">
        <v>1103</v>
      </c>
      <c r="B29" t="s">
        <v>866</v>
      </c>
      <c r="C29" t="s">
        <v>54</v>
      </c>
      <c r="D29" t="s">
        <v>1</v>
      </c>
      <c r="E29" t="s">
        <v>115</v>
      </c>
      <c r="F29" t="s">
        <v>99</v>
      </c>
      <c r="G29" t="s">
        <v>100</v>
      </c>
      <c r="H29" t="s">
        <v>103</v>
      </c>
      <c r="I29" t="s">
        <v>100</v>
      </c>
      <c r="J29" t="s">
        <v>101</v>
      </c>
      <c r="K29" t="s">
        <v>559</v>
      </c>
      <c r="L29" t="s">
        <v>559</v>
      </c>
      <c r="M29" t="s">
        <v>100</v>
      </c>
      <c r="N29" t="s">
        <v>1147</v>
      </c>
      <c r="O29" t="s">
        <v>100</v>
      </c>
      <c r="Q29" t="s">
        <v>1147</v>
      </c>
      <c r="R29" t="s">
        <v>119</v>
      </c>
      <c r="S29" t="s">
        <v>130</v>
      </c>
      <c r="T29" t="s">
        <v>120</v>
      </c>
      <c r="U29" t="s">
        <v>101</v>
      </c>
      <c r="V29" t="s">
        <v>121</v>
      </c>
      <c r="W29" t="s">
        <v>122</v>
      </c>
      <c r="X29" t="s">
        <v>123</v>
      </c>
      <c r="Y29">
        <v>1</v>
      </c>
      <c r="Z29" t="s">
        <v>1153</v>
      </c>
      <c r="AA29" s="280">
        <v>45453</v>
      </c>
      <c r="AB29" t="s">
        <v>114</v>
      </c>
      <c r="AC29" t="s">
        <v>124</v>
      </c>
      <c r="AD29" s="280">
        <v>45747</v>
      </c>
      <c r="AE29" t="s">
        <v>125</v>
      </c>
      <c r="AF29">
        <v>6</v>
      </c>
      <c r="AG29">
        <v>0</v>
      </c>
      <c r="AH29">
        <v>0</v>
      </c>
      <c r="AI29" t="s">
        <v>126</v>
      </c>
      <c r="AJ29">
        <v>294</v>
      </c>
      <c r="AK29">
        <v>0.80547945205479454</v>
      </c>
      <c r="AL29">
        <v>5.1945205479452055</v>
      </c>
      <c r="AM29">
        <v>0</v>
      </c>
      <c r="AN29">
        <v>5.1945205479452055</v>
      </c>
      <c r="AO29">
        <v>5.1945205479452055</v>
      </c>
      <c r="AP29" t="s">
        <v>1054</v>
      </c>
      <c r="AR29" t="s">
        <v>127</v>
      </c>
      <c r="AS29">
        <v>29000</v>
      </c>
      <c r="AX29">
        <v>29000</v>
      </c>
      <c r="AY29">
        <v>25106.849315068492</v>
      </c>
      <c r="AZ29">
        <v>0</v>
      </c>
      <c r="BC29">
        <v>-3893.1506849315069</v>
      </c>
      <c r="BE29" t="s">
        <v>114</v>
      </c>
      <c r="BH29">
        <v>-4833.333333333333</v>
      </c>
      <c r="BI29">
        <v>-402.77777777777777</v>
      </c>
      <c r="BK29" t="s">
        <v>116</v>
      </c>
      <c r="BL29">
        <v>0</v>
      </c>
      <c r="BM29">
        <v>-8726.4840182648404</v>
      </c>
      <c r="BR29">
        <v>0</v>
      </c>
      <c r="BS29">
        <v>20273.51598173516</v>
      </c>
      <c r="BT29">
        <v>-3893.1506849315069</v>
      </c>
      <c r="CE29">
        <v>0</v>
      </c>
    </row>
    <row r="30" spans="1:83">
      <c r="A30" t="s">
        <v>1098</v>
      </c>
      <c r="B30" t="s">
        <v>929</v>
      </c>
      <c r="C30" t="s">
        <v>54</v>
      </c>
      <c r="D30" t="s">
        <v>1</v>
      </c>
      <c r="E30" t="s">
        <v>115</v>
      </c>
      <c r="F30" t="s">
        <v>99</v>
      </c>
      <c r="G30" t="s">
        <v>100</v>
      </c>
      <c r="H30" t="s">
        <v>103</v>
      </c>
      <c r="I30" t="s">
        <v>100</v>
      </c>
      <c r="J30" t="s">
        <v>101</v>
      </c>
      <c r="K30" t="s">
        <v>559</v>
      </c>
      <c r="L30" t="s">
        <v>559</v>
      </c>
      <c r="M30" t="s">
        <v>100</v>
      </c>
      <c r="N30" t="s">
        <v>1147</v>
      </c>
      <c r="O30" t="s">
        <v>100</v>
      </c>
      <c r="Q30" t="s">
        <v>1147</v>
      </c>
      <c r="R30" t="s">
        <v>119</v>
      </c>
      <c r="S30" t="s">
        <v>130</v>
      </c>
      <c r="T30" t="s">
        <v>120</v>
      </c>
      <c r="U30" t="s">
        <v>101</v>
      </c>
      <c r="V30" t="s">
        <v>121</v>
      </c>
      <c r="W30" t="s">
        <v>122</v>
      </c>
      <c r="X30" t="s">
        <v>123</v>
      </c>
      <c r="Y30">
        <v>1</v>
      </c>
      <c r="AB30" t="s">
        <v>114</v>
      </c>
      <c r="AC30" t="s">
        <v>124</v>
      </c>
      <c r="AD30" s="280">
        <v>45747</v>
      </c>
      <c r="AE30" t="s">
        <v>125</v>
      </c>
      <c r="AF30">
        <v>6</v>
      </c>
      <c r="AG30">
        <v>0</v>
      </c>
      <c r="AH30">
        <v>0</v>
      </c>
      <c r="AI30" t="s">
        <v>126</v>
      </c>
      <c r="AJ30">
        <v>45747</v>
      </c>
      <c r="AK30">
        <v>125.33424657534246</v>
      </c>
      <c r="AL30">
        <v>-119.33424657534246</v>
      </c>
      <c r="AM30">
        <v>0</v>
      </c>
      <c r="AN30">
        <v>-119.33424657534246</v>
      </c>
      <c r="AO30">
        <v>-119.33424657534246</v>
      </c>
      <c r="AP30" t="s">
        <v>1050</v>
      </c>
      <c r="AR30" t="s">
        <v>127</v>
      </c>
      <c r="AY30">
        <v>0</v>
      </c>
      <c r="AZ30">
        <v>0</v>
      </c>
      <c r="BC30">
        <v>0</v>
      </c>
      <c r="BE30" t="s">
        <v>114</v>
      </c>
      <c r="BH30">
        <v>0</v>
      </c>
      <c r="BI30">
        <v>0</v>
      </c>
      <c r="BK30" t="s">
        <v>116</v>
      </c>
      <c r="BL30">
        <v>0</v>
      </c>
      <c r="BM30">
        <v>0</v>
      </c>
      <c r="BR30">
        <v>0</v>
      </c>
      <c r="BS30">
        <v>0</v>
      </c>
      <c r="BT30">
        <v>0</v>
      </c>
      <c r="CE30">
        <v>0</v>
      </c>
    </row>
    <row r="31" spans="1:83">
      <c r="A31" t="s">
        <v>1097</v>
      </c>
      <c r="B31" t="s">
        <v>1124</v>
      </c>
      <c r="C31" t="s">
        <v>54</v>
      </c>
      <c r="D31" t="s">
        <v>1</v>
      </c>
      <c r="E31" t="s">
        <v>115</v>
      </c>
      <c r="F31" t="s">
        <v>99</v>
      </c>
      <c r="G31" t="s">
        <v>100</v>
      </c>
      <c r="H31" t="s">
        <v>103</v>
      </c>
      <c r="I31" t="s">
        <v>100</v>
      </c>
      <c r="J31" t="s">
        <v>101</v>
      </c>
      <c r="K31" t="s">
        <v>559</v>
      </c>
      <c r="L31" t="s">
        <v>559</v>
      </c>
      <c r="M31" t="s">
        <v>100</v>
      </c>
      <c r="N31" t="s">
        <v>1147</v>
      </c>
      <c r="O31" t="s">
        <v>100</v>
      </c>
      <c r="Q31" t="s">
        <v>1147</v>
      </c>
      <c r="R31" t="s">
        <v>119</v>
      </c>
      <c r="S31" t="s">
        <v>130</v>
      </c>
      <c r="T31" t="s">
        <v>120</v>
      </c>
      <c r="U31" t="s">
        <v>101</v>
      </c>
      <c r="V31" t="s">
        <v>121</v>
      </c>
      <c r="W31" t="s">
        <v>122</v>
      </c>
      <c r="X31" t="s">
        <v>123</v>
      </c>
      <c r="Y31">
        <v>1</v>
      </c>
      <c r="AB31" t="s">
        <v>114</v>
      </c>
      <c r="AC31" t="s">
        <v>124</v>
      </c>
      <c r="AD31" s="280">
        <v>45747</v>
      </c>
      <c r="AE31" t="s">
        <v>125</v>
      </c>
      <c r="AF31">
        <v>6</v>
      </c>
      <c r="AG31">
        <v>0</v>
      </c>
      <c r="AH31">
        <v>0</v>
      </c>
      <c r="AI31" t="s">
        <v>126</v>
      </c>
      <c r="AJ31">
        <v>45747</v>
      </c>
      <c r="AK31">
        <v>125.33424657534246</v>
      </c>
      <c r="AL31">
        <v>-119.33424657534246</v>
      </c>
      <c r="AM31">
        <v>0</v>
      </c>
      <c r="AN31">
        <v>-119.33424657534246</v>
      </c>
      <c r="AO31">
        <v>-119.33424657534246</v>
      </c>
      <c r="AP31" t="s">
        <v>1050</v>
      </c>
      <c r="AR31" t="s">
        <v>127</v>
      </c>
      <c r="AY31">
        <v>0</v>
      </c>
      <c r="AZ31">
        <v>0</v>
      </c>
      <c r="BC31">
        <v>0</v>
      </c>
      <c r="BE31" t="s">
        <v>114</v>
      </c>
      <c r="BH31">
        <v>0</v>
      </c>
      <c r="BI31">
        <v>0</v>
      </c>
      <c r="BK31" t="s">
        <v>116</v>
      </c>
      <c r="BL31">
        <v>0</v>
      </c>
      <c r="BM31">
        <v>0</v>
      </c>
      <c r="BR31">
        <v>0</v>
      </c>
      <c r="BS31">
        <v>0</v>
      </c>
      <c r="BT31">
        <v>0</v>
      </c>
      <c r="CE31">
        <v>0</v>
      </c>
    </row>
    <row r="32" spans="1:83">
      <c r="A32" t="s">
        <v>1096</v>
      </c>
      <c r="B32" t="s">
        <v>924</v>
      </c>
      <c r="C32" t="s">
        <v>54</v>
      </c>
      <c r="D32" t="s">
        <v>1</v>
      </c>
      <c r="E32" t="s">
        <v>115</v>
      </c>
      <c r="F32" t="s">
        <v>99</v>
      </c>
      <c r="G32" t="s">
        <v>100</v>
      </c>
      <c r="H32" t="s">
        <v>103</v>
      </c>
      <c r="I32" t="s">
        <v>100</v>
      </c>
      <c r="J32" t="s">
        <v>101</v>
      </c>
      <c r="K32" t="s">
        <v>559</v>
      </c>
      <c r="L32" t="s">
        <v>559</v>
      </c>
      <c r="M32" t="s">
        <v>100</v>
      </c>
      <c r="N32" t="s">
        <v>1149</v>
      </c>
      <c r="O32" t="s">
        <v>100</v>
      </c>
      <c r="Q32" t="s">
        <v>1149</v>
      </c>
      <c r="R32" t="s">
        <v>119</v>
      </c>
      <c r="S32" t="s">
        <v>130</v>
      </c>
      <c r="T32" t="s">
        <v>120</v>
      </c>
      <c r="U32" t="s">
        <v>101</v>
      </c>
      <c r="V32" t="s">
        <v>121</v>
      </c>
      <c r="W32" t="s">
        <v>122</v>
      </c>
      <c r="X32" t="s">
        <v>123</v>
      </c>
      <c r="Y32">
        <v>1</v>
      </c>
      <c r="Z32" t="s">
        <v>1151</v>
      </c>
      <c r="AA32" s="280">
        <v>45531</v>
      </c>
      <c r="AB32" t="s">
        <v>114</v>
      </c>
      <c r="AC32" t="s">
        <v>124</v>
      </c>
      <c r="AD32" s="280">
        <v>45747</v>
      </c>
      <c r="AE32" t="s">
        <v>125</v>
      </c>
      <c r="AF32">
        <v>6</v>
      </c>
      <c r="AG32">
        <v>0</v>
      </c>
      <c r="AH32">
        <v>0</v>
      </c>
      <c r="AI32" t="s">
        <v>126</v>
      </c>
      <c r="AJ32">
        <v>216</v>
      </c>
      <c r="AK32">
        <v>0.59178082191780823</v>
      </c>
      <c r="AL32">
        <v>5.4082191780821915</v>
      </c>
      <c r="AM32">
        <v>0</v>
      </c>
      <c r="AN32">
        <v>5.4082191780821915</v>
      </c>
      <c r="AO32">
        <v>5.4082191780821915</v>
      </c>
      <c r="AP32" t="s">
        <v>1050</v>
      </c>
      <c r="AR32" t="s">
        <v>127</v>
      </c>
      <c r="AY32">
        <v>0</v>
      </c>
      <c r="AZ32">
        <v>0</v>
      </c>
      <c r="BC32">
        <v>0</v>
      </c>
      <c r="BE32" t="s">
        <v>114</v>
      </c>
      <c r="BH32">
        <v>0</v>
      </c>
      <c r="BI32">
        <v>0</v>
      </c>
      <c r="BK32" t="s">
        <v>116</v>
      </c>
      <c r="BL32">
        <v>0</v>
      </c>
      <c r="BM32">
        <v>0</v>
      </c>
      <c r="BR32">
        <v>0</v>
      </c>
      <c r="BS32">
        <v>0</v>
      </c>
      <c r="BT32">
        <v>0</v>
      </c>
      <c r="CE32">
        <v>0</v>
      </c>
    </row>
    <row r="33" spans="1:83">
      <c r="A33" t="s">
        <v>1095</v>
      </c>
      <c r="B33" t="s">
        <v>924</v>
      </c>
      <c r="C33" t="s">
        <v>54</v>
      </c>
      <c r="D33" t="s">
        <v>1</v>
      </c>
      <c r="E33" t="s">
        <v>115</v>
      </c>
      <c r="F33" t="s">
        <v>99</v>
      </c>
      <c r="G33" t="s">
        <v>100</v>
      </c>
      <c r="H33" t="s">
        <v>103</v>
      </c>
      <c r="I33" t="s">
        <v>100</v>
      </c>
      <c r="J33" t="s">
        <v>101</v>
      </c>
      <c r="K33" t="s">
        <v>559</v>
      </c>
      <c r="L33" t="s">
        <v>559</v>
      </c>
      <c r="M33" t="s">
        <v>100</v>
      </c>
      <c r="N33" t="s">
        <v>1149</v>
      </c>
      <c r="O33" t="s">
        <v>100</v>
      </c>
      <c r="Q33" t="s">
        <v>1149</v>
      </c>
      <c r="R33" t="s">
        <v>119</v>
      </c>
      <c r="S33" t="s">
        <v>130</v>
      </c>
      <c r="T33" t="s">
        <v>120</v>
      </c>
      <c r="U33" t="s">
        <v>101</v>
      </c>
      <c r="V33" t="s">
        <v>121</v>
      </c>
      <c r="W33" t="s">
        <v>122</v>
      </c>
      <c r="X33" t="s">
        <v>123</v>
      </c>
      <c r="Y33">
        <v>1</v>
      </c>
      <c r="Z33" t="s">
        <v>1151</v>
      </c>
      <c r="AA33" s="280">
        <v>45531</v>
      </c>
      <c r="AB33" t="s">
        <v>114</v>
      </c>
      <c r="AC33" t="s">
        <v>124</v>
      </c>
      <c r="AD33" s="280">
        <v>45747</v>
      </c>
      <c r="AE33" t="s">
        <v>125</v>
      </c>
      <c r="AF33">
        <v>6</v>
      </c>
      <c r="AG33">
        <v>0</v>
      </c>
      <c r="AH33">
        <v>0</v>
      </c>
      <c r="AI33" t="s">
        <v>126</v>
      </c>
      <c r="AJ33">
        <v>216</v>
      </c>
      <c r="AK33">
        <v>0.59178082191780823</v>
      </c>
      <c r="AL33">
        <v>5.4082191780821915</v>
      </c>
      <c r="AM33">
        <v>0</v>
      </c>
      <c r="AN33">
        <v>5.4082191780821915</v>
      </c>
      <c r="AO33">
        <v>5.4082191780821915</v>
      </c>
      <c r="AP33" t="s">
        <v>1050</v>
      </c>
      <c r="AR33" t="s">
        <v>127</v>
      </c>
      <c r="AY33">
        <v>0</v>
      </c>
      <c r="AZ33">
        <v>0</v>
      </c>
      <c r="BC33">
        <v>0</v>
      </c>
      <c r="BE33" t="s">
        <v>114</v>
      </c>
      <c r="BH33">
        <v>0</v>
      </c>
      <c r="BI33">
        <v>0</v>
      </c>
      <c r="BK33" t="s">
        <v>116</v>
      </c>
      <c r="BL33">
        <v>0</v>
      </c>
      <c r="BM33">
        <v>0</v>
      </c>
      <c r="BR33">
        <v>0</v>
      </c>
      <c r="BS33">
        <v>0</v>
      </c>
      <c r="BT33">
        <v>0</v>
      </c>
      <c r="CE33">
        <v>0</v>
      </c>
    </row>
    <row r="34" spans="1:83">
      <c r="A34" t="s">
        <v>1094</v>
      </c>
      <c r="B34" t="s">
        <v>924</v>
      </c>
      <c r="C34" t="s">
        <v>54</v>
      </c>
      <c r="D34" t="s">
        <v>1</v>
      </c>
      <c r="E34" t="s">
        <v>115</v>
      </c>
      <c r="F34" t="s">
        <v>99</v>
      </c>
      <c r="G34" t="s">
        <v>100</v>
      </c>
      <c r="H34" t="s">
        <v>103</v>
      </c>
      <c r="I34" t="s">
        <v>100</v>
      </c>
      <c r="J34" t="s">
        <v>101</v>
      </c>
      <c r="K34" t="s">
        <v>559</v>
      </c>
      <c r="L34" t="s">
        <v>559</v>
      </c>
      <c r="M34" t="s">
        <v>100</v>
      </c>
      <c r="N34" t="s">
        <v>1149</v>
      </c>
      <c r="O34" t="s">
        <v>100</v>
      </c>
      <c r="Q34" t="s">
        <v>1149</v>
      </c>
      <c r="R34" t="s">
        <v>119</v>
      </c>
      <c r="S34" t="s">
        <v>130</v>
      </c>
      <c r="T34" t="s">
        <v>120</v>
      </c>
      <c r="U34" t="s">
        <v>101</v>
      </c>
      <c r="V34" t="s">
        <v>121</v>
      </c>
      <c r="W34" t="s">
        <v>122</v>
      </c>
      <c r="X34" t="s">
        <v>123</v>
      </c>
      <c r="Y34">
        <v>1</v>
      </c>
      <c r="Z34" t="s">
        <v>1151</v>
      </c>
      <c r="AA34" s="280">
        <v>45531</v>
      </c>
      <c r="AB34" t="s">
        <v>114</v>
      </c>
      <c r="AC34" t="s">
        <v>124</v>
      </c>
      <c r="AD34" s="280">
        <v>45747</v>
      </c>
      <c r="AE34" t="s">
        <v>125</v>
      </c>
      <c r="AF34">
        <v>6</v>
      </c>
      <c r="AG34">
        <v>0</v>
      </c>
      <c r="AH34">
        <v>0</v>
      </c>
      <c r="AI34" t="s">
        <v>126</v>
      </c>
      <c r="AJ34">
        <v>216</v>
      </c>
      <c r="AK34">
        <v>0.59178082191780823</v>
      </c>
      <c r="AL34">
        <v>5.4082191780821915</v>
      </c>
      <c r="AM34">
        <v>0</v>
      </c>
      <c r="AN34">
        <v>5.4082191780821915</v>
      </c>
      <c r="AO34">
        <v>5.4082191780821915</v>
      </c>
      <c r="AP34" t="s">
        <v>1050</v>
      </c>
      <c r="AR34" t="s">
        <v>127</v>
      </c>
      <c r="AY34">
        <v>0</v>
      </c>
      <c r="AZ34">
        <v>0</v>
      </c>
      <c r="BC34">
        <v>0</v>
      </c>
      <c r="BE34" t="s">
        <v>114</v>
      </c>
      <c r="BH34">
        <v>0</v>
      </c>
      <c r="BI34">
        <v>0</v>
      </c>
      <c r="BK34" t="s">
        <v>116</v>
      </c>
      <c r="BL34">
        <v>0</v>
      </c>
      <c r="BM34">
        <v>0</v>
      </c>
      <c r="BR34">
        <v>0</v>
      </c>
      <c r="BS34">
        <v>0</v>
      </c>
      <c r="BT34">
        <v>0</v>
      </c>
      <c r="CE34">
        <v>0</v>
      </c>
    </row>
    <row r="35" spans="1:83">
      <c r="A35" t="s">
        <v>1093</v>
      </c>
      <c r="B35" t="s">
        <v>924</v>
      </c>
      <c r="C35" t="s">
        <v>54</v>
      </c>
      <c r="D35" t="s">
        <v>1</v>
      </c>
      <c r="E35" t="s">
        <v>115</v>
      </c>
      <c r="F35" t="s">
        <v>99</v>
      </c>
      <c r="G35" t="s">
        <v>100</v>
      </c>
      <c r="H35" t="s">
        <v>103</v>
      </c>
      <c r="I35" t="s">
        <v>100</v>
      </c>
      <c r="J35" t="s">
        <v>101</v>
      </c>
      <c r="K35" t="s">
        <v>559</v>
      </c>
      <c r="L35" t="s">
        <v>559</v>
      </c>
      <c r="M35" t="s">
        <v>100</v>
      </c>
      <c r="N35" t="s">
        <v>1148</v>
      </c>
      <c r="O35" t="s">
        <v>100</v>
      </c>
      <c r="Q35" t="s">
        <v>1148</v>
      </c>
      <c r="R35" t="s">
        <v>119</v>
      </c>
      <c r="S35" t="s">
        <v>130</v>
      </c>
      <c r="T35" t="s">
        <v>120</v>
      </c>
      <c r="U35" t="s">
        <v>101</v>
      </c>
      <c r="V35" t="s">
        <v>121</v>
      </c>
      <c r="W35" t="s">
        <v>122</v>
      </c>
      <c r="X35" t="s">
        <v>123</v>
      </c>
      <c r="Y35">
        <v>1</v>
      </c>
      <c r="AB35" t="s">
        <v>114</v>
      </c>
      <c r="AC35" t="s">
        <v>124</v>
      </c>
      <c r="AD35" s="280">
        <v>45747</v>
      </c>
      <c r="AE35" t="s">
        <v>125</v>
      </c>
      <c r="AF35">
        <v>6</v>
      </c>
      <c r="AG35">
        <v>0</v>
      </c>
      <c r="AH35">
        <v>0</v>
      </c>
      <c r="AI35" t="s">
        <v>126</v>
      </c>
      <c r="AJ35">
        <v>45747</v>
      </c>
      <c r="AK35">
        <v>125.33424657534246</v>
      </c>
      <c r="AL35">
        <v>-119.33424657534246</v>
      </c>
      <c r="AM35">
        <v>0</v>
      </c>
      <c r="AN35">
        <v>-119.33424657534246</v>
      </c>
      <c r="AO35">
        <v>-119.33424657534246</v>
      </c>
      <c r="AP35" t="s">
        <v>1050</v>
      </c>
      <c r="AR35" t="s">
        <v>127</v>
      </c>
      <c r="AY35">
        <v>0</v>
      </c>
      <c r="AZ35">
        <v>0</v>
      </c>
      <c r="BC35">
        <v>0</v>
      </c>
      <c r="BE35" t="s">
        <v>114</v>
      </c>
      <c r="BH35">
        <v>0</v>
      </c>
      <c r="BI35">
        <v>0</v>
      </c>
      <c r="BK35" t="s">
        <v>116</v>
      </c>
      <c r="BL35">
        <v>0</v>
      </c>
      <c r="BM35">
        <v>0</v>
      </c>
      <c r="BR35">
        <v>0</v>
      </c>
      <c r="BS35">
        <v>0</v>
      </c>
      <c r="BT35">
        <v>0</v>
      </c>
      <c r="CE35">
        <v>0</v>
      </c>
    </row>
    <row r="36" spans="1:83">
      <c r="A36" t="s">
        <v>1092</v>
      </c>
      <c r="B36" t="s">
        <v>924</v>
      </c>
      <c r="C36" t="s">
        <v>54</v>
      </c>
      <c r="D36" t="s">
        <v>1</v>
      </c>
      <c r="E36" t="s">
        <v>115</v>
      </c>
      <c r="F36" t="s">
        <v>99</v>
      </c>
      <c r="G36" t="s">
        <v>100</v>
      </c>
      <c r="H36" t="s">
        <v>103</v>
      </c>
      <c r="I36" t="s">
        <v>100</v>
      </c>
      <c r="J36" t="s">
        <v>101</v>
      </c>
      <c r="K36" t="s">
        <v>559</v>
      </c>
      <c r="L36" t="s">
        <v>559</v>
      </c>
      <c r="M36" t="s">
        <v>100</v>
      </c>
      <c r="N36" t="s">
        <v>715</v>
      </c>
      <c r="O36" t="s">
        <v>100</v>
      </c>
      <c r="Q36" t="s">
        <v>715</v>
      </c>
      <c r="R36" t="s">
        <v>119</v>
      </c>
      <c r="S36" t="s">
        <v>130</v>
      </c>
      <c r="T36" t="s">
        <v>120</v>
      </c>
      <c r="U36" t="s">
        <v>101</v>
      </c>
      <c r="V36" t="s">
        <v>121</v>
      </c>
      <c r="W36" t="s">
        <v>122</v>
      </c>
      <c r="X36" t="s">
        <v>123</v>
      </c>
      <c r="Y36">
        <v>1</v>
      </c>
      <c r="AB36" t="s">
        <v>114</v>
      </c>
      <c r="AC36" t="s">
        <v>124</v>
      </c>
      <c r="AD36" s="280">
        <v>45747</v>
      </c>
      <c r="AE36" t="s">
        <v>125</v>
      </c>
      <c r="AF36">
        <v>6</v>
      </c>
      <c r="AG36">
        <v>0</v>
      </c>
      <c r="AH36">
        <v>0</v>
      </c>
      <c r="AI36" t="s">
        <v>126</v>
      </c>
      <c r="AJ36">
        <v>45747</v>
      </c>
      <c r="AK36">
        <v>125.33424657534246</v>
      </c>
      <c r="AL36">
        <v>-119.33424657534246</v>
      </c>
      <c r="AM36">
        <v>0</v>
      </c>
      <c r="AN36">
        <v>-119.33424657534246</v>
      </c>
      <c r="AO36">
        <v>-119.33424657534246</v>
      </c>
      <c r="AP36" t="s">
        <v>1050</v>
      </c>
      <c r="AR36" t="s">
        <v>127</v>
      </c>
      <c r="AY36">
        <v>0</v>
      </c>
      <c r="AZ36">
        <v>0</v>
      </c>
      <c r="BC36">
        <v>0</v>
      </c>
      <c r="BE36" t="s">
        <v>114</v>
      </c>
      <c r="BH36">
        <v>0</v>
      </c>
      <c r="BI36">
        <v>0</v>
      </c>
      <c r="BK36" t="s">
        <v>116</v>
      </c>
      <c r="BL36">
        <v>0</v>
      </c>
      <c r="BM36">
        <v>0</v>
      </c>
      <c r="BR36">
        <v>0</v>
      </c>
      <c r="BS36">
        <v>0</v>
      </c>
      <c r="BT36">
        <v>0</v>
      </c>
      <c r="CE36">
        <v>0</v>
      </c>
    </row>
    <row r="37" spans="1:83">
      <c r="A37" t="s">
        <v>1091</v>
      </c>
      <c r="B37" t="s">
        <v>924</v>
      </c>
      <c r="C37" t="s">
        <v>54</v>
      </c>
      <c r="D37" t="s">
        <v>1</v>
      </c>
      <c r="E37" t="s">
        <v>115</v>
      </c>
      <c r="F37" t="s">
        <v>99</v>
      </c>
      <c r="G37" t="s">
        <v>100</v>
      </c>
      <c r="H37" t="s">
        <v>103</v>
      </c>
      <c r="I37" t="s">
        <v>100</v>
      </c>
      <c r="J37" t="s">
        <v>101</v>
      </c>
      <c r="K37" t="s">
        <v>559</v>
      </c>
      <c r="L37" t="s">
        <v>559</v>
      </c>
      <c r="M37" t="s">
        <v>100</v>
      </c>
      <c r="N37" t="s">
        <v>715</v>
      </c>
      <c r="O37" t="s">
        <v>100</v>
      </c>
      <c r="Q37" t="s">
        <v>715</v>
      </c>
      <c r="R37" t="s">
        <v>119</v>
      </c>
      <c r="S37" t="s">
        <v>130</v>
      </c>
      <c r="T37" t="s">
        <v>120</v>
      </c>
      <c r="U37" t="s">
        <v>101</v>
      </c>
      <c r="V37" t="s">
        <v>121</v>
      </c>
      <c r="W37" t="s">
        <v>122</v>
      </c>
      <c r="X37" t="s">
        <v>123</v>
      </c>
      <c r="Y37">
        <v>1</v>
      </c>
      <c r="AB37" t="s">
        <v>114</v>
      </c>
      <c r="AC37" t="s">
        <v>124</v>
      </c>
      <c r="AD37" s="280">
        <v>45747</v>
      </c>
      <c r="AE37" t="s">
        <v>125</v>
      </c>
      <c r="AF37">
        <v>6</v>
      </c>
      <c r="AG37">
        <v>0</v>
      </c>
      <c r="AH37">
        <v>0</v>
      </c>
      <c r="AI37" t="s">
        <v>126</v>
      </c>
      <c r="AJ37">
        <v>45747</v>
      </c>
      <c r="AK37">
        <v>125.33424657534246</v>
      </c>
      <c r="AL37">
        <v>-119.33424657534246</v>
      </c>
      <c r="AM37">
        <v>0</v>
      </c>
      <c r="AN37">
        <v>-119.33424657534246</v>
      </c>
      <c r="AO37">
        <v>-119.33424657534246</v>
      </c>
      <c r="AP37" t="s">
        <v>1050</v>
      </c>
      <c r="AR37" t="s">
        <v>127</v>
      </c>
      <c r="AY37">
        <v>0</v>
      </c>
      <c r="AZ37">
        <v>0</v>
      </c>
      <c r="BC37">
        <v>0</v>
      </c>
      <c r="BE37" t="s">
        <v>114</v>
      </c>
      <c r="BH37">
        <v>0</v>
      </c>
      <c r="BI37">
        <v>0</v>
      </c>
      <c r="BK37" t="s">
        <v>116</v>
      </c>
      <c r="BL37">
        <v>0</v>
      </c>
      <c r="BM37">
        <v>0</v>
      </c>
      <c r="BR37">
        <v>0</v>
      </c>
      <c r="BS37">
        <v>0</v>
      </c>
      <c r="BT37">
        <v>0</v>
      </c>
      <c r="CE37">
        <v>0</v>
      </c>
    </row>
    <row r="38" spans="1:83">
      <c r="A38" t="s">
        <v>1090</v>
      </c>
      <c r="B38" t="s">
        <v>924</v>
      </c>
      <c r="C38" t="s">
        <v>54</v>
      </c>
      <c r="D38" t="s">
        <v>1</v>
      </c>
      <c r="E38" t="s">
        <v>115</v>
      </c>
      <c r="F38" t="s">
        <v>99</v>
      </c>
      <c r="G38" t="s">
        <v>100</v>
      </c>
      <c r="H38" t="s">
        <v>103</v>
      </c>
      <c r="I38" t="s">
        <v>100</v>
      </c>
      <c r="J38" t="s">
        <v>101</v>
      </c>
      <c r="K38" t="s">
        <v>559</v>
      </c>
      <c r="L38" t="s">
        <v>559</v>
      </c>
      <c r="M38" t="s">
        <v>100</v>
      </c>
      <c r="N38" t="s">
        <v>715</v>
      </c>
      <c r="O38" t="s">
        <v>100</v>
      </c>
      <c r="Q38" t="s">
        <v>715</v>
      </c>
      <c r="R38" t="s">
        <v>119</v>
      </c>
      <c r="S38" t="s">
        <v>130</v>
      </c>
      <c r="T38" t="s">
        <v>120</v>
      </c>
      <c r="U38" t="s">
        <v>101</v>
      </c>
      <c r="V38" t="s">
        <v>121</v>
      </c>
      <c r="W38" t="s">
        <v>122</v>
      </c>
      <c r="X38" t="s">
        <v>123</v>
      </c>
      <c r="Y38">
        <v>1</v>
      </c>
      <c r="AB38" t="s">
        <v>114</v>
      </c>
      <c r="AC38" t="s">
        <v>124</v>
      </c>
      <c r="AD38" s="280">
        <v>45747</v>
      </c>
      <c r="AE38" t="s">
        <v>125</v>
      </c>
      <c r="AF38">
        <v>6</v>
      </c>
      <c r="AG38">
        <v>0</v>
      </c>
      <c r="AH38">
        <v>0</v>
      </c>
      <c r="AI38" t="s">
        <v>126</v>
      </c>
      <c r="AJ38">
        <v>45747</v>
      </c>
      <c r="AK38">
        <v>125.33424657534246</v>
      </c>
      <c r="AL38">
        <v>-119.33424657534246</v>
      </c>
      <c r="AM38">
        <v>0</v>
      </c>
      <c r="AN38">
        <v>-119.33424657534246</v>
      </c>
      <c r="AO38">
        <v>-119.33424657534246</v>
      </c>
      <c r="AP38" t="s">
        <v>1050</v>
      </c>
      <c r="AR38" t="s">
        <v>127</v>
      </c>
      <c r="AY38">
        <v>0</v>
      </c>
      <c r="AZ38">
        <v>0</v>
      </c>
      <c r="BC38">
        <v>0</v>
      </c>
      <c r="BE38" t="s">
        <v>114</v>
      </c>
      <c r="BH38">
        <v>0</v>
      </c>
      <c r="BI38">
        <v>0</v>
      </c>
      <c r="BK38" t="s">
        <v>116</v>
      </c>
      <c r="BL38">
        <v>0</v>
      </c>
      <c r="BM38">
        <v>0</v>
      </c>
      <c r="BR38">
        <v>0</v>
      </c>
      <c r="BS38">
        <v>0</v>
      </c>
      <c r="BT38">
        <v>0</v>
      </c>
      <c r="CA38" t="s">
        <v>1135</v>
      </c>
      <c r="CE38">
        <v>0</v>
      </c>
    </row>
    <row r="39" spans="1:83">
      <c r="A39" t="s">
        <v>1089</v>
      </c>
      <c r="B39" t="s">
        <v>1123</v>
      </c>
      <c r="C39" t="s">
        <v>54</v>
      </c>
      <c r="D39" t="s">
        <v>1</v>
      </c>
      <c r="E39" t="s">
        <v>115</v>
      </c>
      <c r="F39" t="s">
        <v>99</v>
      </c>
      <c r="G39" t="s">
        <v>100</v>
      </c>
      <c r="H39" t="s">
        <v>103</v>
      </c>
      <c r="I39" t="s">
        <v>100</v>
      </c>
      <c r="J39" t="s">
        <v>101</v>
      </c>
      <c r="K39" t="s">
        <v>559</v>
      </c>
      <c r="L39" t="s">
        <v>559</v>
      </c>
      <c r="M39" t="s">
        <v>100</v>
      </c>
      <c r="N39" t="s">
        <v>1130</v>
      </c>
      <c r="O39" t="s">
        <v>100</v>
      </c>
      <c r="Q39" t="s">
        <v>1130</v>
      </c>
      <c r="R39" t="s">
        <v>119</v>
      </c>
      <c r="S39" t="s">
        <v>130</v>
      </c>
      <c r="T39" t="s">
        <v>120</v>
      </c>
      <c r="U39" t="s">
        <v>101</v>
      </c>
      <c r="V39" t="s">
        <v>121</v>
      </c>
      <c r="W39" t="s">
        <v>122</v>
      </c>
      <c r="X39" t="s">
        <v>123</v>
      </c>
      <c r="Y39">
        <v>1</v>
      </c>
      <c r="Z39" t="s">
        <v>1150</v>
      </c>
      <c r="AA39" s="280">
        <v>45706</v>
      </c>
      <c r="AB39" t="s">
        <v>114</v>
      </c>
      <c r="AC39" t="s">
        <v>124</v>
      </c>
      <c r="AD39" s="280">
        <v>45747</v>
      </c>
      <c r="AE39" t="s">
        <v>125</v>
      </c>
      <c r="AF39">
        <v>6</v>
      </c>
      <c r="AG39">
        <v>0</v>
      </c>
      <c r="AH39">
        <v>0</v>
      </c>
      <c r="AI39" t="s">
        <v>126</v>
      </c>
      <c r="AJ39">
        <v>41</v>
      </c>
      <c r="AK39">
        <v>0.11232876712328767</v>
      </c>
      <c r="AL39">
        <v>5.8876712328767127</v>
      </c>
      <c r="AM39">
        <v>0</v>
      </c>
      <c r="AN39">
        <v>5.8876712328767127</v>
      </c>
      <c r="AO39">
        <v>5.8876712328767127</v>
      </c>
      <c r="AP39" t="s">
        <v>1054</v>
      </c>
      <c r="AR39" t="s">
        <v>127</v>
      </c>
      <c r="AS39">
        <v>26291</v>
      </c>
      <c r="AX39">
        <v>26291</v>
      </c>
      <c r="AY39">
        <v>25798.79406392694</v>
      </c>
      <c r="AZ39">
        <v>0</v>
      </c>
      <c r="BC39">
        <v>-492.20593607305932</v>
      </c>
      <c r="BE39" t="s">
        <v>114</v>
      </c>
      <c r="BH39">
        <v>-4381.833333333333</v>
      </c>
      <c r="BI39">
        <v>-365.15277777777777</v>
      </c>
      <c r="BK39" t="s">
        <v>116</v>
      </c>
      <c r="BL39">
        <v>0</v>
      </c>
      <c r="BM39">
        <v>-4874.0392694063921</v>
      </c>
      <c r="BR39">
        <v>0</v>
      </c>
      <c r="BS39">
        <v>21416.960730593608</v>
      </c>
      <c r="BT39">
        <v>-492.20593607305932</v>
      </c>
      <c r="CA39" t="s">
        <v>1134</v>
      </c>
      <c r="CE39">
        <v>0</v>
      </c>
    </row>
    <row r="40" spans="1:83">
      <c r="A40" t="s">
        <v>1088</v>
      </c>
      <c r="B40" t="s">
        <v>929</v>
      </c>
      <c r="C40" t="s">
        <v>54</v>
      </c>
      <c r="D40" t="s">
        <v>1</v>
      </c>
      <c r="E40" t="s">
        <v>115</v>
      </c>
      <c r="F40" t="s">
        <v>99</v>
      </c>
      <c r="G40" t="s">
        <v>100</v>
      </c>
      <c r="H40" t="s">
        <v>103</v>
      </c>
      <c r="I40" t="s">
        <v>100</v>
      </c>
      <c r="J40" t="s">
        <v>101</v>
      </c>
      <c r="K40" t="s">
        <v>559</v>
      </c>
      <c r="L40" t="s">
        <v>559</v>
      </c>
      <c r="M40" t="s">
        <v>100</v>
      </c>
      <c r="N40" t="s">
        <v>836</v>
      </c>
      <c r="O40" t="s">
        <v>100</v>
      </c>
      <c r="Q40" t="s">
        <v>836</v>
      </c>
      <c r="R40" t="s">
        <v>119</v>
      </c>
      <c r="S40" t="s">
        <v>130</v>
      </c>
      <c r="T40" t="s">
        <v>120</v>
      </c>
      <c r="U40" t="s">
        <v>101</v>
      </c>
      <c r="V40" t="s">
        <v>121</v>
      </c>
      <c r="W40" t="s">
        <v>122</v>
      </c>
      <c r="X40" t="s">
        <v>123</v>
      </c>
      <c r="Y40">
        <v>1</v>
      </c>
      <c r="Z40" t="s">
        <v>1153</v>
      </c>
      <c r="AA40" s="280">
        <v>45453</v>
      </c>
      <c r="AB40" t="s">
        <v>114</v>
      </c>
      <c r="AC40" t="s">
        <v>124</v>
      </c>
      <c r="AD40" s="280">
        <v>45747</v>
      </c>
      <c r="AE40" t="s">
        <v>125</v>
      </c>
      <c r="AF40">
        <v>6</v>
      </c>
      <c r="AG40">
        <v>0</v>
      </c>
      <c r="AH40">
        <v>0</v>
      </c>
      <c r="AI40" t="s">
        <v>126</v>
      </c>
      <c r="AJ40">
        <v>294</v>
      </c>
      <c r="AK40">
        <v>0.80547945205479454</v>
      </c>
      <c r="AL40">
        <v>5.1945205479452055</v>
      </c>
      <c r="AM40">
        <v>0</v>
      </c>
      <c r="AN40">
        <v>5.1945205479452055</v>
      </c>
      <c r="AO40">
        <v>5.1945205479452055</v>
      </c>
      <c r="AP40" t="s">
        <v>1054</v>
      </c>
      <c r="AR40" t="s">
        <v>127</v>
      </c>
      <c r="AS40">
        <v>29000</v>
      </c>
      <c r="AX40">
        <v>29000</v>
      </c>
      <c r="AY40">
        <v>25106.849315068492</v>
      </c>
      <c r="AZ40">
        <v>0</v>
      </c>
      <c r="BC40">
        <v>-3893.1506849315069</v>
      </c>
      <c r="BE40" t="s">
        <v>114</v>
      </c>
      <c r="BH40">
        <v>-4833.333333333333</v>
      </c>
      <c r="BI40">
        <v>-402.77777777777777</v>
      </c>
      <c r="BK40" t="s">
        <v>116</v>
      </c>
      <c r="BL40">
        <v>0</v>
      </c>
      <c r="BM40">
        <v>-8726.4840182648404</v>
      </c>
      <c r="BR40">
        <v>0</v>
      </c>
      <c r="BS40">
        <v>20273.51598173516</v>
      </c>
      <c r="BT40">
        <v>-3893.1506849315069</v>
      </c>
      <c r="CA40" t="s">
        <v>1133</v>
      </c>
      <c r="CE40">
        <v>0</v>
      </c>
    </row>
    <row r="41" spans="1:83">
      <c r="A41" t="s">
        <v>1087</v>
      </c>
      <c r="B41" t="s">
        <v>1122</v>
      </c>
      <c r="C41" t="s">
        <v>54</v>
      </c>
      <c r="D41" t="s">
        <v>1</v>
      </c>
      <c r="E41" t="s">
        <v>115</v>
      </c>
      <c r="F41" t="s">
        <v>99</v>
      </c>
      <c r="G41" t="s">
        <v>100</v>
      </c>
      <c r="H41" t="s">
        <v>103</v>
      </c>
      <c r="I41" t="s">
        <v>100</v>
      </c>
      <c r="J41" t="s">
        <v>101</v>
      </c>
      <c r="K41" t="s">
        <v>559</v>
      </c>
      <c r="L41" t="s">
        <v>559</v>
      </c>
      <c r="M41" t="s">
        <v>100</v>
      </c>
      <c r="N41" t="s">
        <v>1129</v>
      </c>
      <c r="O41" t="s">
        <v>100</v>
      </c>
      <c r="Q41" t="s">
        <v>1129</v>
      </c>
      <c r="R41" t="s">
        <v>119</v>
      </c>
      <c r="S41" t="s">
        <v>130</v>
      </c>
      <c r="T41" t="s">
        <v>120</v>
      </c>
      <c r="U41" t="s">
        <v>101</v>
      </c>
      <c r="V41" t="s">
        <v>121</v>
      </c>
      <c r="W41" t="s">
        <v>122</v>
      </c>
      <c r="X41" t="s">
        <v>123</v>
      </c>
      <c r="Y41">
        <v>1</v>
      </c>
      <c r="Z41" t="s">
        <v>1153</v>
      </c>
      <c r="AA41" s="280">
        <v>45453</v>
      </c>
      <c r="AB41" t="s">
        <v>114</v>
      </c>
      <c r="AC41" t="s">
        <v>124</v>
      </c>
      <c r="AD41" s="280">
        <v>45747</v>
      </c>
      <c r="AE41" t="s">
        <v>125</v>
      </c>
      <c r="AF41">
        <v>6</v>
      </c>
      <c r="AG41">
        <v>0</v>
      </c>
      <c r="AH41">
        <v>0</v>
      </c>
      <c r="AI41" t="s">
        <v>126</v>
      </c>
      <c r="AJ41">
        <v>294</v>
      </c>
      <c r="AK41">
        <v>0.80547945205479454</v>
      </c>
      <c r="AL41">
        <v>5.1945205479452055</v>
      </c>
      <c r="AM41">
        <v>0</v>
      </c>
      <c r="AN41">
        <v>5.1945205479452055</v>
      </c>
      <c r="AO41">
        <v>5.1945205479452055</v>
      </c>
      <c r="AP41" t="s">
        <v>1054</v>
      </c>
      <c r="AR41" t="s">
        <v>127</v>
      </c>
      <c r="AS41">
        <v>29000</v>
      </c>
      <c r="AX41">
        <v>29000</v>
      </c>
      <c r="AY41">
        <v>25106.849315068492</v>
      </c>
      <c r="AZ41">
        <v>0</v>
      </c>
      <c r="BC41">
        <v>-3893.1506849315069</v>
      </c>
      <c r="BE41" t="s">
        <v>114</v>
      </c>
      <c r="BH41">
        <v>-4833.333333333333</v>
      </c>
      <c r="BI41">
        <v>-402.77777777777777</v>
      </c>
      <c r="BK41" t="s">
        <v>116</v>
      </c>
      <c r="BL41">
        <v>0</v>
      </c>
      <c r="BM41">
        <v>-8726.4840182648404</v>
      </c>
      <c r="BR41">
        <v>0</v>
      </c>
      <c r="BS41">
        <v>20273.51598173516</v>
      </c>
      <c r="BT41">
        <v>-3893.1506849315069</v>
      </c>
      <c r="CA41" t="s">
        <v>1132</v>
      </c>
      <c r="CE41">
        <v>0</v>
      </c>
    </row>
    <row r="42" spans="1:83">
      <c r="A42" t="s">
        <v>1086</v>
      </c>
      <c r="B42" t="s">
        <v>858</v>
      </c>
      <c r="C42" t="s">
        <v>54</v>
      </c>
      <c r="D42" t="s">
        <v>1</v>
      </c>
      <c r="E42" t="s">
        <v>115</v>
      </c>
      <c r="F42" t="s">
        <v>99</v>
      </c>
      <c r="G42" t="s">
        <v>100</v>
      </c>
      <c r="H42" t="s">
        <v>103</v>
      </c>
      <c r="I42" t="s">
        <v>100</v>
      </c>
      <c r="J42" t="s">
        <v>101</v>
      </c>
      <c r="K42" t="s">
        <v>559</v>
      </c>
      <c r="L42" t="s">
        <v>559</v>
      </c>
      <c r="M42" t="s">
        <v>100</v>
      </c>
      <c r="N42" t="s">
        <v>1145</v>
      </c>
      <c r="O42" t="s">
        <v>100</v>
      </c>
      <c r="Q42" t="s">
        <v>1145</v>
      </c>
      <c r="R42" t="s">
        <v>119</v>
      </c>
      <c r="S42" t="s">
        <v>130</v>
      </c>
      <c r="T42" t="s">
        <v>120</v>
      </c>
      <c r="U42" t="s">
        <v>101</v>
      </c>
      <c r="V42" t="s">
        <v>121</v>
      </c>
      <c r="W42" t="s">
        <v>122</v>
      </c>
      <c r="X42" t="s">
        <v>123</v>
      </c>
      <c r="Y42">
        <v>1</v>
      </c>
      <c r="Z42" t="s">
        <v>1150</v>
      </c>
      <c r="AA42" s="280">
        <v>45706</v>
      </c>
      <c r="AB42" t="s">
        <v>114</v>
      </c>
      <c r="AC42" t="s">
        <v>124</v>
      </c>
      <c r="AD42" s="280">
        <v>45747</v>
      </c>
      <c r="AE42" t="s">
        <v>125</v>
      </c>
      <c r="AF42">
        <v>6</v>
      </c>
      <c r="AG42">
        <v>0</v>
      </c>
      <c r="AH42">
        <v>0</v>
      </c>
      <c r="AI42" t="s">
        <v>126</v>
      </c>
      <c r="AJ42">
        <v>41</v>
      </c>
      <c r="AK42">
        <v>0.11232876712328767</v>
      </c>
      <c r="AL42">
        <v>5.8876712328767127</v>
      </c>
      <c r="AM42">
        <v>0</v>
      </c>
      <c r="AN42">
        <v>5.8876712328767127</v>
      </c>
      <c r="AO42">
        <v>5.8876712328767127</v>
      </c>
      <c r="AP42" t="s">
        <v>1054</v>
      </c>
      <c r="AR42" t="s">
        <v>127</v>
      </c>
      <c r="AS42">
        <v>26291</v>
      </c>
      <c r="AX42">
        <v>26291</v>
      </c>
      <c r="AY42">
        <v>25798.79406392694</v>
      </c>
      <c r="AZ42">
        <v>0</v>
      </c>
      <c r="BC42">
        <v>-492.20593607305932</v>
      </c>
      <c r="BE42" t="s">
        <v>114</v>
      </c>
      <c r="BH42">
        <v>-4381.833333333333</v>
      </c>
      <c r="BI42">
        <v>-365.15277777777777</v>
      </c>
      <c r="BK42" t="s">
        <v>116</v>
      </c>
      <c r="BL42">
        <v>0</v>
      </c>
      <c r="BM42">
        <v>-4874.0392694063921</v>
      </c>
      <c r="BR42">
        <v>0</v>
      </c>
      <c r="BS42">
        <v>21416.960730593608</v>
      </c>
      <c r="BT42">
        <v>-492.20593607305932</v>
      </c>
      <c r="CE42">
        <v>0</v>
      </c>
    </row>
    <row r="43" spans="1:83">
      <c r="A43">
        <v>1978</v>
      </c>
      <c r="B43" t="s">
        <v>918</v>
      </c>
      <c r="C43" t="s">
        <v>54</v>
      </c>
      <c r="D43" t="s">
        <v>1</v>
      </c>
      <c r="E43" t="s">
        <v>115</v>
      </c>
      <c r="F43" t="s">
        <v>99</v>
      </c>
      <c r="G43" t="s">
        <v>100</v>
      </c>
      <c r="H43" t="s">
        <v>103</v>
      </c>
      <c r="I43" t="s">
        <v>100</v>
      </c>
      <c r="J43" t="s">
        <v>101</v>
      </c>
      <c r="K43" t="s">
        <v>559</v>
      </c>
      <c r="L43" t="s">
        <v>559</v>
      </c>
      <c r="M43" t="s">
        <v>100</v>
      </c>
      <c r="N43" t="s">
        <v>846</v>
      </c>
      <c r="O43" t="s">
        <v>100</v>
      </c>
      <c r="Q43" t="s">
        <v>846</v>
      </c>
      <c r="R43" t="s">
        <v>119</v>
      </c>
      <c r="S43" t="s">
        <v>130</v>
      </c>
      <c r="T43" t="s">
        <v>120</v>
      </c>
      <c r="U43" t="s">
        <v>101</v>
      </c>
      <c r="V43" t="s">
        <v>121</v>
      </c>
      <c r="W43" t="s">
        <v>122</v>
      </c>
      <c r="X43" t="s">
        <v>123</v>
      </c>
      <c r="Y43">
        <v>1</v>
      </c>
      <c r="Z43" t="s">
        <v>849</v>
      </c>
      <c r="AA43" s="280">
        <v>45379</v>
      </c>
      <c r="AB43" t="s">
        <v>114</v>
      </c>
      <c r="AC43" t="s">
        <v>124</v>
      </c>
      <c r="AD43" s="280">
        <v>45382</v>
      </c>
      <c r="AE43" t="s">
        <v>125</v>
      </c>
      <c r="AF43">
        <v>5</v>
      </c>
      <c r="AG43">
        <v>0</v>
      </c>
      <c r="AH43">
        <v>0</v>
      </c>
      <c r="AI43" t="s">
        <v>126</v>
      </c>
      <c r="AL43">
        <v>3.9917808219178079</v>
      </c>
      <c r="AM43">
        <v>0</v>
      </c>
      <c r="AN43">
        <v>3.9917808219178079</v>
      </c>
      <c r="AO43">
        <v>2.9917808219178079</v>
      </c>
      <c r="AP43" t="s">
        <v>1050</v>
      </c>
      <c r="AR43" t="s">
        <v>127</v>
      </c>
      <c r="AS43">
        <v>64300</v>
      </c>
      <c r="AX43">
        <v>64300</v>
      </c>
      <c r="AY43">
        <v>51334.301369863009</v>
      </c>
      <c r="AZ43">
        <v>0</v>
      </c>
      <c r="BC43">
        <v>-12965.698630136989</v>
      </c>
      <c r="BE43" t="s">
        <v>114</v>
      </c>
      <c r="BH43">
        <v>-12860</v>
      </c>
      <c r="BI43">
        <v>-1071.6666666666667</v>
      </c>
      <c r="BK43" t="s">
        <v>116</v>
      </c>
      <c r="BL43">
        <v>0</v>
      </c>
      <c r="BM43">
        <v>-25825.698630136991</v>
      </c>
      <c r="BR43">
        <v>0</v>
      </c>
      <c r="BS43">
        <v>38474.301369863009</v>
      </c>
      <c r="BT43">
        <v>-12965.698630136989</v>
      </c>
      <c r="BZ43" t="s">
        <v>1023</v>
      </c>
      <c r="CE43">
        <v>0</v>
      </c>
    </row>
    <row r="44" spans="1:83">
      <c r="A44">
        <v>1453</v>
      </c>
      <c r="B44">
        <v>0</v>
      </c>
      <c r="C44" t="s">
        <v>54</v>
      </c>
      <c r="D44" t="s">
        <v>1</v>
      </c>
      <c r="E44" t="s">
        <v>115</v>
      </c>
      <c r="F44" t="s">
        <v>99</v>
      </c>
      <c r="G44" t="s">
        <v>100</v>
      </c>
      <c r="H44" t="s">
        <v>103</v>
      </c>
      <c r="I44" t="s">
        <v>100</v>
      </c>
      <c r="J44" t="s">
        <v>101</v>
      </c>
      <c r="K44" t="s">
        <v>559</v>
      </c>
      <c r="L44" t="s">
        <v>559</v>
      </c>
      <c r="M44" t="s">
        <v>100</v>
      </c>
      <c r="N44" t="s">
        <v>1071</v>
      </c>
      <c r="O44" t="s">
        <v>100</v>
      </c>
      <c r="Q44" t="s">
        <v>1071</v>
      </c>
      <c r="R44" t="s">
        <v>119</v>
      </c>
      <c r="S44" t="s">
        <v>130</v>
      </c>
      <c r="T44" t="s">
        <v>120</v>
      </c>
      <c r="U44" t="s">
        <v>101</v>
      </c>
      <c r="V44" t="s">
        <v>121</v>
      </c>
      <c r="W44" t="s">
        <v>122</v>
      </c>
      <c r="X44" t="s">
        <v>123</v>
      </c>
      <c r="Y44">
        <v>1</v>
      </c>
      <c r="Z44" t="s">
        <v>850</v>
      </c>
      <c r="AA44" s="280">
        <v>45338</v>
      </c>
      <c r="AB44" t="s">
        <v>114</v>
      </c>
      <c r="AC44" t="s">
        <v>124</v>
      </c>
      <c r="AD44" s="280">
        <v>45382</v>
      </c>
      <c r="AE44" t="s">
        <v>125</v>
      </c>
      <c r="AF44">
        <v>5</v>
      </c>
      <c r="AG44">
        <v>0</v>
      </c>
      <c r="AH44">
        <v>0</v>
      </c>
      <c r="AI44" t="s">
        <v>126</v>
      </c>
      <c r="AL44">
        <v>3.8794520547945206</v>
      </c>
      <c r="AM44">
        <v>0</v>
      </c>
      <c r="AN44">
        <v>3.8794520547945206</v>
      </c>
      <c r="AO44">
        <v>2.8794520547945206</v>
      </c>
      <c r="AP44">
        <v>0</v>
      </c>
      <c r="AR44" t="s">
        <v>127</v>
      </c>
      <c r="AS44">
        <v>5274.19</v>
      </c>
      <c r="AX44">
        <v>5274.19</v>
      </c>
      <c r="AY44">
        <v>4092.193446575342</v>
      </c>
      <c r="AZ44">
        <v>0</v>
      </c>
      <c r="BC44">
        <v>-1181.9965534246573</v>
      </c>
      <c r="BE44" t="s">
        <v>114</v>
      </c>
      <c r="BH44">
        <v>-1054.838</v>
      </c>
      <c r="BI44">
        <v>-87.903166666666664</v>
      </c>
      <c r="BK44" t="s">
        <v>116</v>
      </c>
      <c r="BL44">
        <v>0</v>
      </c>
      <c r="BM44">
        <v>-2236.8345534246573</v>
      </c>
      <c r="BR44">
        <v>0</v>
      </c>
      <c r="BS44">
        <v>3037.3554465753423</v>
      </c>
      <c r="BT44">
        <v>-1181.9965534246573</v>
      </c>
      <c r="CE44">
        <v>0</v>
      </c>
    </row>
    <row r="45" spans="1:83">
      <c r="A45">
        <v>1975</v>
      </c>
      <c r="B45">
        <v>0</v>
      </c>
      <c r="C45" t="s">
        <v>54</v>
      </c>
      <c r="D45" t="s">
        <v>1</v>
      </c>
      <c r="E45" t="s">
        <v>115</v>
      </c>
      <c r="F45" t="s">
        <v>99</v>
      </c>
      <c r="G45" t="s">
        <v>100</v>
      </c>
      <c r="H45" t="s">
        <v>103</v>
      </c>
      <c r="I45" t="s">
        <v>100</v>
      </c>
      <c r="J45" t="s">
        <v>101</v>
      </c>
      <c r="K45" t="s">
        <v>559</v>
      </c>
      <c r="L45" t="s">
        <v>559</v>
      </c>
      <c r="M45" t="s">
        <v>100</v>
      </c>
      <c r="N45" t="s">
        <v>845</v>
      </c>
      <c r="O45" t="s">
        <v>100</v>
      </c>
      <c r="Q45" t="s">
        <v>845</v>
      </c>
      <c r="R45" t="s">
        <v>119</v>
      </c>
      <c r="S45" t="s">
        <v>130</v>
      </c>
      <c r="T45" t="s">
        <v>120</v>
      </c>
      <c r="U45" t="s">
        <v>101</v>
      </c>
      <c r="V45" t="s">
        <v>121</v>
      </c>
      <c r="W45" t="s">
        <v>122</v>
      </c>
      <c r="X45" t="s">
        <v>123</v>
      </c>
      <c r="Y45">
        <v>1</v>
      </c>
      <c r="Z45" t="s">
        <v>850</v>
      </c>
      <c r="AA45" s="280">
        <v>45338</v>
      </c>
      <c r="AB45" t="s">
        <v>114</v>
      </c>
      <c r="AC45" t="s">
        <v>124</v>
      </c>
      <c r="AD45" s="280">
        <v>45382</v>
      </c>
      <c r="AE45" t="s">
        <v>125</v>
      </c>
      <c r="AF45">
        <v>5</v>
      </c>
      <c r="AG45">
        <v>0</v>
      </c>
      <c r="AH45">
        <v>0</v>
      </c>
      <c r="AI45" t="s">
        <v>126</v>
      </c>
      <c r="AL45">
        <v>3.8794520547945206</v>
      </c>
      <c r="AM45">
        <v>0</v>
      </c>
      <c r="AN45">
        <v>3.8794520547945206</v>
      </c>
      <c r="AO45">
        <v>2.8794520547945206</v>
      </c>
      <c r="AP45">
        <v>0</v>
      </c>
      <c r="AR45" t="s">
        <v>127</v>
      </c>
      <c r="AS45">
        <v>5274.19</v>
      </c>
      <c r="AX45">
        <v>5274.19</v>
      </c>
      <c r="AY45">
        <v>4092.193446575342</v>
      </c>
      <c r="AZ45">
        <v>0</v>
      </c>
      <c r="BC45">
        <v>-1181.9965534246573</v>
      </c>
      <c r="BE45" t="s">
        <v>114</v>
      </c>
      <c r="BH45">
        <v>-1054.838</v>
      </c>
      <c r="BI45">
        <v>-87.903166666666664</v>
      </c>
      <c r="BK45" t="s">
        <v>116</v>
      </c>
      <c r="BL45">
        <v>0</v>
      </c>
      <c r="BM45">
        <v>-2236.8345534246573</v>
      </c>
      <c r="BR45">
        <v>0</v>
      </c>
      <c r="BS45">
        <v>3037.3554465753423</v>
      </c>
      <c r="BT45">
        <v>-1181.9965534246573</v>
      </c>
      <c r="BZ45">
        <v>0</v>
      </c>
      <c r="CE45">
        <v>0</v>
      </c>
    </row>
    <row r="46" spans="1:83">
      <c r="A46">
        <v>1974</v>
      </c>
      <c r="B46" t="s">
        <v>860</v>
      </c>
      <c r="C46" t="s">
        <v>54</v>
      </c>
      <c r="D46" t="s">
        <v>1</v>
      </c>
      <c r="E46" t="s">
        <v>115</v>
      </c>
      <c r="F46" t="s">
        <v>99</v>
      </c>
      <c r="G46" t="s">
        <v>100</v>
      </c>
      <c r="H46" t="s">
        <v>103</v>
      </c>
      <c r="I46" t="s">
        <v>100</v>
      </c>
      <c r="J46" t="s">
        <v>101</v>
      </c>
      <c r="K46" t="s">
        <v>559</v>
      </c>
      <c r="L46" t="s">
        <v>559</v>
      </c>
      <c r="M46" t="s">
        <v>100</v>
      </c>
      <c r="N46" t="s">
        <v>844</v>
      </c>
      <c r="O46" t="s">
        <v>100</v>
      </c>
      <c r="Q46" t="s">
        <v>844</v>
      </c>
      <c r="R46" t="s">
        <v>119</v>
      </c>
      <c r="S46" t="s">
        <v>130</v>
      </c>
      <c r="T46" t="s">
        <v>120</v>
      </c>
      <c r="U46" t="s">
        <v>101</v>
      </c>
      <c r="V46" t="s">
        <v>121</v>
      </c>
      <c r="W46" t="s">
        <v>122</v>
      </c>
      <c r="X46" t="s">
        <v>123</v>
      </c>
      <c r="Y46">
        <v>1</v>
      </c>
      <c r="Z46" t="s">
        <v>849</v>
      </c>
      <c r="AA46" s="280">
        <v>45379</v>
      </c>
      <c r="AB46" t="s">
        <v>114</v>
      </c>
      <c r="AC46" t="s">
        <v>124</v>
      </c>
      <c r="AD46" s="280">
        <v>45382</v>
      </c>
      <c r="AE46" t="s">
        <v>125</v>
      </c>
      <c r="AF46">
        <v>5</v>
      </c>
      <c r="AG46">
        <v>0</v>
      </c>
      <c r="AH46">
        <v>0</v>
      </c>
      <c r="AI46" t="s">
        <v>126</v>
      </c>
      <c r="AL46">
        <v>3.9917808219178079</v>
      </c>
      <c r="AM46">
        <v>0</v>
      </c>
      <c r="AN46">
        <v>3.9917808219178079</v>
      </c>
      <c r="AO46">
        <v>2.9917808219178079</v>
      </c>
      <c r="AP46" t="s">
        <v>1050</v>
      </c>
      <c r="AR46" t="s">
        <v>127</v>
      </c>
      <c r="AS46">
        <v>23000</v>
      </c>
      <c r="AX46">
        <v>23000</v>
      </c>
      <c r="AY46">
        <v>18362.191780821919</v>
      </c>
      <c r="AZ46">
        <v>0</v>
      </c>
      <c r="BC46">
        <v>-4637.8082191780823</v>
      </c>
      <c r="BE46" t="s">
        <v>114</v>
      </c>
      <c r="BH46">
        <v>-4600.0000000000009</v>
      </c>
      <c r="BI46">
        <v>-383.33333333333343</v>
      </c>
      <c r="BK46" t="s">
        <v>116</v>
      </c>
      <c r="BL46">
        <v>0</v>
      </c>
      <c r="BM46">
        <v>-9237.8082191780832</v>
      </c>
      <c r="BR46">
        <v>0</v>
      </c>
      <c r="BS46">
        <v>13762.191780821917</v>
      </c>
      <c r="BT46">
        <v>-4637.8082191780823</v>
      </c>
      <c r="BZ46" t="s">
        <v>945</v>
      </c>
      <c r="CE46">
        <v>0</v>
      </c>
    </row>
    <row r="47" spans="1:83">
      <c r="A47">
        <v>1973</v>
      </c>
      <c r="B47" t="s">
        <v>859</v>
      </c>
      <c r="C47" t="s">
        <v>54</v>
      </c>
      <c r="D47" t="s">
        <v>1</v>
      </c>
      <c r="E47" t="s">
        <v>115</v>
      </c>
      <c r="F47" t="s">
        <v>99</v>
      </c>
      <c r="G47" t="s">
        <v>100</v>
      </c>
      <c r="H47" t="s">
        <v>103</v>
      </c>
      <c r="I47" t="s">
        <v>100</v>
      </c>
      <c r="J47" t="s">
        <v>101</v>
      </c>
      <c r="K47" t="s">
        <v>559</v>
      </c>
      <c r="L47" t="s">
        <v>559</v>
      </c>
      <c r="M47" t="s">
        <v>100</v>
      </c>
      <c r="N47" t="s">
        <v>843</v>
      </c>
      <c r="O47" t="s">
        <v>100</v>
      </c>
      <c r="Q47" t="s">
        <v>843</v>
      </c>
      <c r="R47" t="s">
        <v>119</v>
      </c>
      <c r="S47" t="s">
        <v>130</v>
      </c>
      <c r="T47" t="s">
        <v>120</v>
      </c>
      <c r="U47" t="s">
        <v>101</v>
      </c>
      <c r="V47" t="s">
        <v>121</v>
      </c>
      <c r="W47" t="s">
        <v>122</v>
      </c>
      <c r="X47" t="s">
        <v>123</v>
      </c>
      <c r="Y47">
        <v>1</v>
      </c>
      <c r="Z47" t="s">
        <v>849</v>
      </c>
      <c r="AA47" s="280">
        <v>45379</v>
      </c>
      <c r="AB47" t="s">
        <v>114</v>
      </c>
      <c r="AC47" t="s">
        <v>124</v>
      </c>
      <c r="AD47" s="280">
        <v>45382</v>
      </c>
      <c r="AE47" t="s">
        <v>125</v>
      </c>
      <c r="AF47">
        <v>5</v>
      </c>
      <c r="AG47">
        <v>0</v>
      </c>
      <c r="AH47">
        <v>0</v>
      </c>
      <c r="AI47" t="s">
        <v>126</v>
      </c>
      <c r="AL47">
        <v>3.9917808219178079</v>
      </c>
      <c r="AM47">
        <v>0</v>
      </c>
      <c r="AN47">
        <v>3.9917808219178079</v>
      </c>
      <c r="AO47">
        <v>2.9917808219178079</v>
      </c>
      <c r="AP47" t="s">
        <v>1050</v>
      </c>
      <c r="AR47" t="s">
        <v>127</v>
      </c>
      <c r="AS47">
        <v>23000</v>
      </c>
      <c r="AX47">
        <v>23000</v>
      </c>
      <c r="AY47">
        <v>18362.191780821919</v>
      </c>
      <c r="AZ47">
        <v>0</v>
      </c>
      <c r="BC47">
        <v>-4637.8082191780823</v>
      </c>
      <c r="BE47" t="s">
        <v>114</v>
      </c>
      <c r="BH47">
        <v>-4600.0000000000009</v>
      </c>
      <c r="BI47">
        <v>-383.33333333333343</v>
      </c>
      <c r="BK47" t="s">
        <v>116</v>
      </c>
      <c r="BL47">
        <v>0</v>
      </c>
      <c r="BM47">
        <v>-9237.8082191780832</v>
      </c>
      <c r="BR47">
        <v>0</v>
      </c>
      <c r="BS47">
        <v>13762.191780821917</v>
      </c>
      <c r="BT47">
        <v>-4637.8082191780823</v>
      </c>
      <c r="BZ47" t="s">
        <v>1028</v>
      </c>
      <c r="CE47">
        <v>0</v>
      </c>
    </row>
    <row r="48" spans="1:83">
      <c r="A48">
        <v>1972</v>
      </c>
      <c r="B48">
        <v>0</v>
      </c>
      <c r="C48" t="s">
        <v>54</v>
      </c>
      <c r="D48" t="s">
        <v>1</v>
      </c>
      <c r="E48" t="s">
        <v>115</v>
      </c>
      <c r="F48" t="s">
        <v>99</v>
      </c>
      <c r="G48" t="s">
        <v>100</v>
      </c>
      <c r="H48" t="s">
        <v>103</v>
      </c>
      <c r="I48" t="s">
        <v>100</v>
      </c>
      <c r="J48" t="s">
        <v>101</v>
      </c>
      <c r="K48" t="s">
        <v>559</v>
      </c>
      <c r="L48" t="s">
        <v>559</v>
      </c>
      <c r="M48" t="s">
        <v>100</v>
      </c>
      <c r="N48" t="s">
        <v>842</v>
      </c>
      <c r="O48" t="s">
        <v>100</v>
      </c>
      <c r="Q48" t="s">
        <v>842</v>
      </c>
      <c r="R48" t="s">
        <v>119</v>
      </c>
      <c r="S48" t="s">
        <v>130</v>
      </c>
      <c r="T48" t="s">
        <v>120</v>
      </c>
      <c r="U48" t="s">
        <v>101</v>
      </c>
      <c r="V48" t="s">
        <v>121</v>
      </c>
      <c r="W48" t="s">
        <v>122</v>
      </c>
      <c r="X48" t="s">
        <v>123</v>
      </c>
      <c r="Y48">
        <v>1</v>
      </c>
      <c r="Z48" t="s">
        <v>849</v>
      </c>
      <c r="AA48" s="280">
        <v>45379</v>
      </c>
      <c r="AB48" t="s">
        <v>114</v>
      </c>
      <c r="AC48" t="s">
        <v>124</v>
      </c>
      <c r="AD48" s="280">
        <v>45382</v>
      </c>
      <c r="AE48" t="s">
        <v>125</v>
      </c>
      <c r="AF48">
        <v>5</v>
      </c>
      <c r="AG48">
        <v>0</v>
      </c>
      <c r="AH48">
        <v>0</v>
      </c>
      <c r="AI48" t="s">
        <v>126</v>
      </c>
      <c r="AL48">
        <v>3.9917808219178079</v>
      </c>
      <c r="AM48">
        <v>0</v>
      </c>
      <c r="AN48">
        <v>3.9917808219178079</v>
      </c>
      <c r="AO48">
        <v>2.9917808219178079</v>
      </c>
      <c r="AP48" t="s">
        <v>1050</v>
      </c>
      <c r="AR48" t="s">
        <v>127</v>
      </c>
      <c r="AS48">
        <v>23000</v>
      </c>
      <c r="AX48">
        <v>23000</v>
      </c>
      <c r="AY48">
        <v>3149.5499999999993</v>
      </c>
      <c r="AZ48">
        <v>0</v>
      </c>
      <c r="BC48">
        <v>-4637.8082191780823</v>
      </c>
      <c r="BE48" t="s">
        <v>114</v>
      </c>
      <c r="BH48">
        <v>-789.00875085792711</v>
      </c>
      <c r="BI48">
        <v>-65.750729238160588</v>
      </c>
      <c r="BK48" t="s">
        <v>116</v>
      </c>
      <c r="BL48">
        <v>0</v>
      </c>
      <c r="BM48">
        <v>-5426.8169700360095</v>
      </c>
      <c r="BN48">
        <v>-15212.641780821919</v>
      </c>
      <c r="BO48">
        <v>0</v>
      </c>
      <c r="BR48">
        <v>-15212.641780821919</v>
      </c>
      <c r="BS48">
        <v>2360.541249142072</v>
      </c>
      <c r="BT48">
        <v>-4637.8082191780823</v>
      </c>
      <c r="BZ48" t="s">
        <v>1172</v>
      </c>
      <c r="CE48">
        <v>0</v>
      </c>
    </row>
    <row r="49" spans="1:83">
      <c r="A49">
        <v>1971</v>
      </c>
      <c r="B49" t="s">
        <v>895</v>
      </c>
      <c r="C49" t="s">
        <v>54</v>
      </c>
      <c r="D49" t="s">
        <v>1</v>
      </c>
      <c r="E49" t="s">
        <v>115</v>
      </c>
      <c r="F49" t="s">
        <v>99</v>
      </c>
      <c r="G49" t="s">
        <v>100</v>
      </c>
      <c r="H49" t="s">
        <v>103</v>
      </c>
      <c r="I49" t="s">
        <v>100</v>
      </c>
      <c r="J49" t="s">
        <v>101</v>
      </c>
      <c r="K49" t="s">
        <v>559</v>
      </c>
      <c r="L49" t="s">
        <v>559</v>
      </c>
      <c r="M49" t="s">
        <v>100</v>
      </c>
      <c r="N49" t="s">
        <v>841</v>
      </c>
      <c r="O49" t="s">
        <v>100</v>
      </c>
      <c r="Q49" t="s">
        <v>841</v>
      </c>
      <c r="R49" t="s">
        <v>119</v>
      </c>
      <c r="S49" t="s">
        <v>130</v>
      </c>
      <c r="T49" t="s">
        <v>120</v>
      </c>
      <c r="U49" t="s">
        <v>101</v>
      </c>
      <c r="V49" t="s">
        <v>121</v>
      </c>
      <c r="W49" t="s">
        <v>122</v>
      </c>
      <c r="X49" t="s">
        <v>123</v>
      </c>
      <c r="Y49">
        <v>1</v>
      </c>
      <c r="Z49" t="s">
        <v>849</v>
      </c>
      <c r="AA49" s="280">
        <v>45379</v>
      </c>
      <c r="AB49" t="s">
        <v>114</v>
      </c>
      <c r="AC49" t="s">
        <v>124</v>
      </c>
      <c r="AD49" s="280">
        <v>45382</v>
      </c>
      <c r="AE49" t="s">
        <v>125</v>
      </c>
      <c r="AF49">
        <v>5</v>
      </c>
      <c r="AG49">
        <v>0</v>
      </c>
      <c r="AH49">
        <v>0</v>
      </c>
      <c r="AI49" t="s">
        <v>126</v>
      </c>
      <c r="AL49">
        <v>3.9917808219178079</v>
      </c>
      <c r="AM49">
        <v>0</v>
      </c>
      <c r="AN49">
        <v>3.9917808219178079</v>
      </c>
      <c r="AO49">
        <v>2.9917808219178079</v>
      </c>
      <c r="AP49" t="s">
        <v>1050</v>
      </c>
      <c r="AR49" t="s">
        <v>127</v>
      </c>
      <c r="AS49">
        <v>23000</v>
      </c>
      <c r="AX49">
        <v>23000</v>
      </c>
      <c r="AY49">
        <v>18362.191780821919</v>
      </c>
      <c r="AZ49">
        <v>0</v>
      </c>
      <c r="BC49">
        <v>-4637.8082191780823</v>
      </c>
      <c r="BE49" t="s">
        <v>114</v>
      </c>
      <c r="BH49">
        <v>-4600.0000000000009</v>
      </c>
      <c r="BI49">
        <v>-383.33333333333343</v>
      </c>
      <c r="BK49" t="s">
        <v>116</v>
      </c>
      <c r="BL49">
        <v>0</v>
      </c>
      <c r="BM49">
        <v>-9237.8082191780832</v>
      </c>
      <c r="BR49">
        <v>0</v>
      </c>
      <c r="BS49">
        <v>13762.191780821917</v>
      </c>
      <c r="BT49">
        <v>-4637.8082191780823</v>
      </c>
      <c r="BZ49" t="s">
        <v>1049</v>
      </c>
      <c r="CE49">
        <v>0</v>
      </c>
    </row>
    <row r="50" spans="1:83">
      <c r="A50">
        <v>1965</v>
      </c>
      <c r="B50" t="s">
        <v>851</v>
      </c>
      <c r="C50" t="s">
        <v>54</v>
      </c>
      <c r="D50" t="s">
        <v>1</v>
      </c>
      <c r="E50" t="s">
        <v>115</v>
      </c>
      <c r="F50" t="s">
        <v>99</v>
      </c>
      <c r="G50" t="s">
        <v>100</v>
      </c>
      <c r="H50" t="s">
        <v>103</v>
      </c>
      <c r="I50" t="s">
        <v>100</v>
      </c>
      <c r="J50" t="s">
        <v>101</v>
      </c>
      <c r="K50" t="s">
        <v>559</v>
      </c>
      <c r="L50" t="s">
        <v>559</v>
      </c>
      <c r="M50" t="s">
        <v>100</v>
      </c>
      <c r="N50" t="s">
        <v>840</v>
      </c>
      <c r="O50" t="s">
        <v>100</v>
      </c>
      <c r="Q50" t="s">
        <v>840</v>
      </c>
      <c r="R50" t="s">
        <v>119</v>
      </c>
      <c r="S50" t="s">
        <v>130</v>
      </c>
      <c r="T50" t="s">
        <v>120</v>
      </c>
      <c r="U50" t="s">
        <v>101</v>
      </c>
      <c r="V50" t="s">
        <v>121</v>
      </c>
      <c r="W50" t="s">
        <v>122</v>
      </c>
      <c r="X50" t="s">
        <v>123</v>
      </c>
      <c r="Y50">
        <v>1</v>
      </c>
      <c r="Z50" t="s">
        <v>849</v>
      </c>
      <c r="AA50" s="280">
        <v>45379</v>
      </c>
      <c r="AB50" t="s">
        <v>114</v>
      </c>
      <c r="AC50" t="s">
        <v>124</v>
      </c>
      <c r="AD50" s="280">
        <v>45382</v>
      </c>
      <c r="AE50" t="s">
        <v>125</v>
      </c>
      <c r="AF50">
        <v>5</v>
      </c>
      <c r="AG50">
        <v>0</v>
      </c>
      <c r="AH50">
        <v>0</v>
      </c>
      <c r="AI50" t="s">
        <v>126</v>
      </c>
      <c r="AL50">
        <v>3.9917808219178079</v>
      </c>
      <c r="AM50">
        <v>0</v>
      </c>
      <c r="AN50">
        <v>3.9917808219178079</v>
      </c>
      <c r="AO50">
        <v>2.9917808219178079</v>
      </c>
      <c r="AP50" t="s">
        <v>1050</v>
      </c>
      <c r="AR50" t="s">
        <v>127</v>
      </c>
      <c r="AS50">
        <v>23000</v>
      </c>
      <c r="AX50">
        <v>23000</v>
      </c>
      <c r="AY50">
        <v>18362.191780821919</v>
      </c>
      <c r="AZ50">
        <v>0</v>
      </c>
      <c r="BC50">
        <v>-4637.8082191780823</v>
      </c>
      <c r="BE50" t="s">
        <v>114</v>
      </c>
      <c r="BH50">
        <v>-4600.0000000000009</v>
      </c>
      <c r="BI50">
        <v>-383.33333333333343</v>
      </c>
      <c r="BK50" t="s">
        <v>116</v>
      </c>
      <c r="BL50">
        <v>0</v>
      </c>
      <c r="BM50">
        <v>-9237.8082191780832</v>
      </c>
      <c r="BR50">
        <v>0</v>
      </c>
      <c r="BS50">
        <v>13762.191780821917</v>
      </c>
      <c r="BT50">
        <v>-4637.8082191780823</v>
      </c>
      <c r="BZ50" t="s">
        <v>1048</v>
      </c>
      <c r="CE50">
        <v>0</v>
      </c>
    </row>
    <row r="51" spans="1:83">
      <c r="A51">
        <v>1962</v>
      </c>
      <c r="B51" t="s">
        <v>884</v>
      </c>
      <c r="C51" t="s">
        <v>54</v>
      </c>
      <c r="D51" t="s">
        <v>1</v>
      </c>
      <c r="E51" t="s">
        <v>115</v>
      </c>
      <c r="F51" t="s">
        <v>99</v>
      </c>
      <c r="G51" t="s">
        <v>100</v>
      </c>
      <c r="H51" t="s">
        <v>103</v>
      </c>
      <c r="I51" t="s">
        <v>100</v>
      </c>
      <c r="J51" t="s">
        <v>101</v>
      </c>
      <c r="K51" t="s">
        <v>559</v>
      </c>
      <c r="L51" t="s">
        <v>559</v>
      </c>
      <c r="M51" t="s">
        <v>100</v>
      </c>
      <c r="N51" t="s">
        <v>839</v>
      </c>
      <c r="O51" t="s">
        <v>100</v>
      </c>
      <c r="Q51" t="s">
        <v>839</v>
      </c>
      <c r="R51" t="s">
        <v>119</v>
      </c>
      <c r="S51" t="s">
        <v>130</v>
      </c>
      <c r="T51" t="s">
        <v>120</v>
      </c>
      <c r="U51" t="s">
        <v>101</v>
      </c>
      <c r="V51" t="s">
        <v>121</v>
      </c>
      <c r="W51" t="s">
        <v>122</v>
      </c>
      <c r="X51" t="s">
        <v>123</v>
      </c>
      <c r="Y51">
        <v>1</v>
      </c>
      <c r="Z51" t="s">
        <v>849</v>
      </c>
      <c r="AA51" s="280">
        <v>45379</v>
      </c>
      <c r="AB51" t="s">
        <v>114</v>
      </c>
      <c r="AC51" t="s">
        <v>124</v>
      </c>
      <c r="AD51" s="280">
        <v>45382</v>
      </c>
      <c r="AE51" t="s">
        <v>125</v>
      </c>
      <c r="AF51">
        <v>5</v>
      </c>
      <c r="AG51">
        <v>0</v>
      </c>
      <c r="AH51">
        <v>0</v>
      </c>
      <c r="AI51" t="s">
        <v>126</v>
      </c>
      <c r="AL51">
        <v>3.9917808219178079</v>
      </c>
      <c r="AM51">
        <v>0</v>
      </c>
      <c r="AN51">
        <v>3.9917808219178079</v>
      </c>
      <c r="AO51">
        <v>2.9917808219178079</v>
      </c>
      <c r="AP51" t="s">
        <v>1050</v>
      </c>
      <c r="AR51" t="s">
        <v>127</v>
      </c>
      <c r="AS51">
        <v>23000</v>
      </c>
      <c r="AX51">
        <v>23000</v>
      </c>
      <c r="AY51">
        <v>18362.191780821919</v>
      </c>
      <c r="AZ51">
        <v>0</v>
      </c>
      <c r="BC51">
        <v>-4637.8082191780823</v>
      </c>
      <c r="BE51" t="s">
        <v>114</v>
      </c>
      <c r="BH51">
        <v>-4600.0000000000009</v>
      </c>
      <c r="BI51">
        <v>-383.33333333333343</v>
      </c>
      <c r="BK51" t="s">
        <v>116</v>
      </c>
      <c r="BL51">
        <v>0</v>
      </c>
      <c r="BM51">
        <v>-9237.8082191780832</v>
      </c>
      <c r="BR51">
        <v>0</v>
      </c>
      <c r="BS51">
        <v>13762.191780821917</v>
      </c>
      <c r="BT51">
        <v>-4637.8082191780823</v>
      </c>
      <c r="BZ51" t="s">
        <v>999</v>
      </c>
      <c r="CE51">
        <v>0</v>
      </c>
    </row>
    <row r="52" spans="1:83">
      <c r="A52">
        <v>1953</v>
      </c>
      <c r="B52">
        <v>0</v>
      </c>
      <c r="C52" t="s">
        <v>54</v>
      </c>
      <c r="D52" t="s">
        <v>1</v>
      </c>
      <c r="E52" t="s">
        <v>115</v>
      </c>
      <c r="F52" t="s">
        <v>99</v>
      </c>
      <c r="G52" t="s">
        <v>100</v>
      </c>
      <c r="H52" t="s">
        <v>103</v>
      </c>
      <c r="I52" t="s">
        <v>100</v>
      </c>
      <c r="J52" t="s">
        <v>101</v>
      </c>
      <c r="K52" t="s">
        <v>559</v>
      </c>
      <c r="L52" t="s">
        <v>559</v>
      </c>
      <c r="M52" t="s">
        <v>100</v>
      </c>
      <c r="N52" t="s">
        <v>838</v>
      </c>
      <c r="O52" t="s">
        <v>100</v>
      </c>
      <c r="Q52" t="s">
        <v>838</v>
      </c>
      <c r="R52" t="s">
        <v>119</v>
      </c>
      <c r="S52" t="s">
        <v>130</v>
      </c>
      <c r="T52" t="s">
        <v>120</v>
      </c>
      <c r="U52" t="s">
        <v>101</v>
      </c>
      <c r="V52" t="s">
        <v>121</v>
      </c>
      <c r="W52" t="s">
        <v>122</v>
      </c>
      <c r="X52" t="s">
        <v>123</v>
      </c>
      <c r="Y52">
        <v>1</v>
      </c>
      <c r="Z52" t="s">
        <v>849</v>
      </c>
      <c r="AA52" s="280">
        <v>45379</v>
      </c>
      <c r="AB52" t="s">
        <v>114</v>
      </c>
      <c r="AC52" t="s">
        <v>124</v>
      </c>
      <c r="AD52" s="280">
        <v>45382</v>
      </c>
      <c r="AE52" t="s">
        <v>125</v>
      </c>
      <c r="AF52">
        <v>5</v>
      </c>
      <c r="AG52">
        <v>0</v>
      </c>
      <c r="AH52">
        <v>0</v>
      </c>
      <c r="AI52" t="s">
        <v>126</v>
      </c>
      <c r="AL52">
        <v>3.9917808219178079</v>
      </c>
      <c r="AM52">
        <v>0</v>
      </c>
      <c r="AN52">
        <v>3.9917808219178079</v>
      </c>
      <c r="AO52">
        <v>2.9917808219178079</v>
      </c>
      <c r="AP52">
        <v>0</v>
      </c>
      <c r="AR52" t="s">
        <v>127</v>
      </c>
      <c r="AS52">
        <v>23000</v>
      </c>
      <c r="AX52">
        <v>23000</v>
      </c>
      <c r="AY52">
        <v>18362.191780821919</v>
      </c>
      <c r="AZ52">
        <v>0</v>
      </c>
      <c r="BC52">
        <v>-4637.8082191780823</v>
      </c>
      <c r="BE52" t="s">
        <v>114</v>
      </c>
      <c r="BH52">
        <v>-4600.0000000000009</v>
      </c>
      <c r="BI52">
        <v>-383.33333333333343</v>
      </c>
      <c r="BK52" t="s">
        <v>116</v>
      </c>
      <c r="BL52">
        <v>0</v>
      </c>
      <c r="BM52">
        <v>-9237.8082191780832</v>
      </c>
      <c r="BR52">
        <v>0</v>
      </c>
      <c r="BS52">
        <v>13762.191780821917</v>
      </c>
      <c r="BT52">
        <v>-4637.8082191780823</v>
      </c>
      <c r="BZ52">
        <v>0</v>
      </c>
      <c r="CE52">
        <v>0</v>
      </c>
    </row>
    <row r="53" spans="1:83">
      <c r="A53">
        <v>1952</v>
      </c>
      <c r="B53" t="s">
        <v>1185</v>
      </c>
      <c r="C53" t="s">
        <v>54</v>
      </c>
      <c r="D53" t="s">
        <v>1</v>
      </c>
      <c r="E53" t="s">
        <v>115</v>
      </c>
      <c r="F53" t="s">
        <v>99</v>
      </c>
      <c r="G53" t="s">
        <v>100</v>
      </c>
      <c r="H53" t="s">
        <v>103</v>
      </c>
      <c r="I53" t="s">
        <v>100</v>
      </c>
      <c r="J53" t="s">
        <v>101</v>
      </c>
      <c r="K53" t="s">
        <v>559</v>
      </c>
      <c r="L53" t="s">
        <v>559</v>
      </c>
      <c r="M53" t="s">
        <v>100</v>
      </c>
      <c r="N53" t="s">
        <v>837</v>
      </c>
      <c r="O53" t="s">
        <v>100</v>
      </c>
      <c r="Q53" t="s">
        <v>837</v>
      </c>
      <c r="R53" t="s">
        <v>119</v>
      </c>
      <c r="S53" t="s">
        <v>130</v>
      </c>
      <c r="T53" t="s">
        <v>120</v>
      </c>
      <c r="U53" t="s">
        <v>101</v>
      </c>
      <c r="V53" t="s">
        <v>121</v>
      </c>
      <c r="W53" t="s">
        <v>122</v>
      </c>
      <c r="X53" t="s">
        <v>123</v>
      </c>
      <c r="Y53">
        <v>1</v>
      </c>
      <c r="Z53" t="s">
        <v>849</v>
      </c>
      <c r="AA53" s="280">
        <v>45379</v>
      </c>
      <c r="AB53" t="s">
        <v>114</v>
      </c>
      <c r="AC53" t="s">
        <v>124</v>
      </c>
      <c r="AD53" s="280">
        <v>45382</v>
      </c>
      <c r="AE53" t="s">
        <v>125</v>
      </c>
      <c r="AF53">
        <v>5</v>
      </c>
      <c r="AG53">
        <v>0</v>
      </c>
      <c r="AH53">
        <v>0</v>
      </c>
      <c r="AI53" t="s">
        <v>126</v>
      </c>
      <c r="AL53">
        <v>3.9917808219178079</v>
      </c>
      <c r="AM53">
        <v>0</v>
      </c>
      <c r="AN53">
        <v>3.9917808219178079</v>
      </c>
      <c r="AO53">
        <v>2.9917808219178079</v>
      </c>
      <c r="AP53" t="s">
        <v>1050</v>
      </c>
      <c r="AR53" t="s">
        <v>127</v>
      </c>
      <c r="AS53">
        <v>23000</v>
      </c>
      <c r="AX53">
        <v>23000</v>
      </c>
      <c r="AY53">
        <v>18362.191780821919</v>
      </c>
      <c r="AZ53">
        <v>0</v>
      </c>
      <c r="BC53">
        <v>-4637.8082191780823</v>
      </c>
      <c r="BE53" t="s">
        <v>114</v>
      </c>
      <c r="BH53">
        <v>-4600.0000000000009</v>
      </c>
      <c r="BI53">
        <v>-383.33333333333343</v>
      </c>
      <c r="BK53" t="s">
        <v>116</v>
      </c>
      <c r="BL53">
        <v>0</v>
      </c>
      <c r="BM53">
        <v>-9237.8082191780832</v>
      </c>
      <c r="BR53">
        <v>0</v>
      </c>
      <c r="BS53">
        <v>13762.191780821917</v>
      </c>
      <c r="BT53">
        <v>-4637.8082191780823</v>
      </c>
      <c r="BZ53" t="s">
        <v>1047</v>
      </c>
      <c r="CE53">
        <v>0</v>
      </c>
    </row>
    <row r="54" spans="1:83">
      <c r="A54">
        <v>1951</v>
      </c>
      <c r="B54" t="s">
        <v>1186</v>
      </c>
      <c r="C54" t="s">
        <v>54</v>
      </c>
      <c r="D54" t="s">
        <v>1</v>
      </c>
      <c r="E54" t="s">
        <v>115</v>
      </c>
      <c r="F54" t="s">
        <v>99</v>
      </c>
      <c r="G54" t="s">
        <v>100</v>
      </c>
      <c r="H54" t="s">
        <v>103</v>
      </c>
      <c r="I54" t="s">
        <v>100</v>
      </c>
      <c r="J54" t="s">
        <v>101</v>
      </c>
      <c r="K54" t="s">
        <v>559</v>
      </c>
      <c r="L54" t="s">
        <v>559</v>
      </c>
      <c r="M54" t="s">
        <v>100</v>
      </c>
      <c r="N54" t="s">
        <v>1168</v>
      </c>
      <c r="O54" t="s">
        <v>100</v>
      </c>
      <c r="Q54" t="s">
        <v>1168</v>
      </c>
      <c r="R54" t="s">
        <v>119</v>
      </c>
      <c r="S54" t="s">
        <v>130</v>
      </c>
      <c r="T54" t="s">
        <v>120</v>
      </c>
      <c r="U54" t="s">
        <v>101</v>
      </c>
      <c r="V54" t="s">
        <v>121</v>
      </c>
      <c r="W54" t="s">
        <v>122</v>
      </c>
      <c r="X54" t="s">
        <v>123</v>
      </c>
      <c r="Y54">
        <v>1</v>
      </c>
      <c r="Z54" t="s">
        <v>849</v>
      </c>
      <c r="AA54" s="280">
        <v>45379</v>
      </c>
      <c r="AB54" t="s">
        <v>114</v>
      </c>
      <c r="AC54" t="s">
        <v>124</v>
      </c>
      <c r="AD54" s="280">
        <v>45382</v>
      </c>
      <c r="AE54" t="s">
        <v>125</v>
      </c>
      <c r="AF54">
        <v>5</v>
      </c>
      <c r="AG54">
        <v>0</v>
      </c>
      <c r="AH54">
        <v>0</v>
      </c>
      <c r="AI54" t="s">
        <v>126</v>
      </c>
      <c r="AL54">
        <v>3.9917808219178079</v>
      </c>
      <c r="AM54">
        <v>0</v>
      </c>
      <c r="AN54">
        <v>3.9917808219178079</v>
      </c>
      <c r="AO54">
        <v>2.9917808219178079</v>
      </c>
      <c r="AP54" t="s">
        <v>1050</v>
      </c>
      <c r="AR54" t="s">
        <v>127</v>
      </c>
      <c r="AS54">
        <v>23000</v>
      </c>
      <c r="AX54">
        <v>23000</v>
      </c>
      <c r="AY54">
        <v>18362.191780821919</v>
      </c>
      <c r="AZ54">
        <v>0</v>
      </c>
      <c r="BC54">
        <v>-4637.8082191780823</v>
      </c>
      <c r="BE54" t="s">
        <v>114</v>
      </c>
      <c r="BH54">
        <v>-4600.0000000000009</v>
      </c>
      <c r="BI54">
        <v>-383.33333333333343</v>
      </c>
      <c r="BK54" t="s">
        <v>116</v>
      </c>
      <c r="BL54">
        <v>0</v>
      </c>
      <c r="BM54">
        <v>-9237.8082191780832</v>
      </c>
      <c r="BR54">
        <v>0</v>
      </c>
      <c r="BS54">
        <v>13762.191780821917</v>
      </c>
      <c r="BT54">
        <v>-4637.8082191780823</v>
      </c>
      <c r="BZ54" t="s">
        <v>948</v>
      </c>
      <c r="CE54">
        <v>0</v>
      </c>
    </row>
    <row r="55" spans="1:83">
      <c r="A55">
        <v>1949</v>
      </c>
      <c r="B55" t="s">
        <v>859</v>
      </c>
      <c r="C55" t="s">
        <v>54</v>
      </c>
      <c r="D55" t="s">
        <v>1</v>
      </c>
      <c r="E55" t="s">
        <v>115</v>
      </c>
      <c r="F55" t="s">
        <v>99</v>
      </c>
      <c r="G55" t="s">
        <v>100</v>
      </c>
      <c r="H55" t="s">
        <v>103</v>
      </c>
      <c r="I55" t="s">
        <v>100</v>
      </c>
      <c r="J55" t="s">
        <v>101</v>
      </c>
      <c r="K55" t="s">
        <v>559</v>
      </c>
      <c r="L55" t="s">
        <v>559</v>
      </c>
      <c r="M55" t="s">
        <v>100</v>
      </c>
      <c r="N55" t="s">
        <v>835</v>
      </c>
      <c r="O55" t="s">
        <v>100</v>
      </c>
      <c r="Q55" t="s">
        <v>835</v>
      </c>
      <c r="R55" t="s">
        <v>119</v>
      </c>
      <c r="S55" t="s">
        <v>130</v>
      </c>
      <c r="T55" t="s">
        <v>120</v>
      </c>
      <c r="U55" t="s">
        <v>101</v>
      </c>
      <c r="V55" t="s">
        <v>121</v>
      </c>
      <c r="W55" t="s">
        <v>122</v>
      </c>
      <c r="X55" t="s">
        <v>123</v>
      </c>
      <c r="Y55">
        <v>1</v>
      </c>
      <c r="Z55" t="s">
        <v>849</v>
      </c>
      <c r="AA55" s="280">
        <v>45379</v>
      </c>
      <c r="AB55" t="s">
        <v>114</v>
      </c>
      <c r="AC55" t="s">
        <v>124</v>
      </c>
      <c r="AD55" s="280">
        <v>45382</v>
      </c>
      <c r="AE55" t="s">
        <v>125</v>
      </c>
      <c r="AF55">
        <v>5</v>
      </c>
      <c r="AG55">
        <v>0</v>
      </c>
      <c r="AH55">
        <v>0</v>
      </c>
      <c r="AI55" t="s">
        <v>126</v>
      </c>
      <c r="AL55">
        <v>3.9917808219178079</v>
      </c>
      <c r="AM55">
        <v>0</v>
      </c>
      <c r="AN55">
        <v>3.9917808219178079</v>
      </c>
      <c r="AO55">
        <v>2.9917808219178079</v>
      </c>
      <c r="AP55" t="s">
        <v>1050</v>
      </c>
      <c r="AR55" t="s">
        <v>127</v>
      </c>
      <c r="AS55">
        <v>23000</v>
      </c>
      <c r="AX55">
        <v>23000</v>
      </c>
      <c r="AY55">
        <v>18362.191780821919</v>
      </c>
      <c r="AZ55">
        <v>0</v>
      </c>
      <c r="BC55">
        <v>-4637.8082191780823</v>
      </c>
      <c r="BE55" t="s">
        <v>114</v>
      </c>
      <c r="BH55">
        <v>-4600.0000000000009</v>
      </c>
      <c r="BI55">
        <v>-383.33333333333343</v>
      </c>
      <c r="BK55" t="s">
        <v>116</v>
      </c>
      <c r="BL55">
        <v>0</v>
      </c>
      <c r="BM55">
        <v>-9237.8082191780832</v>
      </c>
      <c r="BR55">
        <v>0</v>
      </c>
      <c r="BS55">
        <v>13762.191780821917</v>
      </c>
      <c r="BT55">
        <v>-4637.8082191780823</v>
      </c>
      <c r="BZ55" t="s">
        <v>1028</v>
      </c>
      <c r="CE55">
        <v>0</v>
      </c>
    </row>
    <row r="56" spans="1:83">
      <c r="A56">
        <v>1943</v>
      </c>
      <c r="B56" t="s">
        <v>1186</v>
      </c>
      <c r="C56" t="s">
        <v>54</v>
      </c>
      <c r="D56" t="s">
        <v>1</v>
      </c>
      <c r="E56" t="s">
        <v>115</v>
      </c>
      <c r="F56" t="s">
        <v>99</v>
      </c>
      <c r="G56" t="s">
        <v>100</v>
      </c>
      <c r="H56" t="s">
        <v>103</v>
      </c>
      <c r="I56" t="s">
        <v>100</v>
      </c>
      <c r="J56" t="s">
        <v>101</v>
      </c>
      <c r="K56" t="s">
        <v>559</v>
      </c>
      <c r="L56" t="s">
        <v>559</v>
      </c>
      <c r="M56" t="s">
        <v>100</v>
      </c>
      <c r="N56" t="s">
        <v>834</v>
      </c>
      <c r="O56" t="s">
        <v>100</v>
      </c>
      <c r="Q56" t="s">
        <v>834</v>
      </c>
      <c r="R56" t="s">
        <v>119</v>
      </c>
      <c r="S56" t="s">
        <v>130</v>
      </c>
      <c r="T56" t="s">
        <v>120</v>
      </c>
      <c r="U56" t="s">
        <v>101</v>
      </c>
      <c r="V56" t="s">
        <v>121</v>
      </c>
      <c r="W56" t="s">
        <v>122</v>
      </c>
      <c r="X56" t="s">
        <v>123</v>
      </c>
      <c r="Y56">
        <v>1</v>
      </c>
      <c r="Z56" t="s">
        <v>849</v>
      </c>
      <c r="AA56" s="280">
        <v>45379</v>
      </c>
      <c r="AB56" t="s">
        <v>114</v>
      </c>
      <c r="AC56" t="s">
        <v>124</v>
      </c>
      <c r="AD56" s="280">
        <v>45382</v>
      </c>
      <c r="AE56" t="s">
        <v>125</v>
      </c>
      <c r="AF56">
        <v>5</v>
      </c>
      <c r="AG56">
        <v>0</v>
      </c>
      <c r="AH56">
        <v>0</v>
      </c>
      <c r="AI56" t="s">
        <v>126</v>
      </c>
      <c r="AL56">
        <v>3.9917808219178079</v>
      </c>
      <c r="AM56">
        <v>0</v>
      </c>
      <c r="AN56">
        <v>3.9917808219178079</v>
      </c>
      <c r="AO56">
        <v>2.9917808219178079</v>
      </c>
      <c r="AP56" t="s">
        <v>1050</v>
      </c>
      <c r="AR56" t="s">
        <v>127</v>
      </c>
      <c r="AS56">
        <v>23000</v>
      </c>
      <c r="AX56">
        <v>23000</v>
      </c>
      <c r="AY56">
        <v>18362.191780821919</v>
      </c>
      <c r="AZ56">
        <v>0</v>
      </c>
      <c r="BC56">
        <v>-4637.8082191780823</v>
      </c>
      <c r="BE56" t="s">
        <v>114</v>
      </c>
      <c r="BH56">
        <v>-4600.0000000000009</v>
      </c>
      <c r="BI56">
        <v>-383.33333333333343</v>
      </c>
      <c r="BK56" t="s">
        <v>116</v>
      </c>
      <c r="BL56">
        <v>0</v>
      </c>
      <c r="BM56">
        <v>-9237.8082191780832</v>
      </c>
      <c r="BR56">
        <v>0</v>
      </c>
      <c r="BS56">
        <v>13762.191780821917</v>
      </c>
      <c r="BT56">
        <v>-4637.8082191780823</v>
      </c>
      <c r="BZ56" t="s">
        <v>1046</v>
      </c>
      <c r="CE56">
        <v>0</v>
      </c>
    </row>
    <row r="57" spans="1:83">
      <c r="A57">
        <v>1795</v>
      </c>
      <c r="B57" t="s">
        <v>1187</v>
      </c>
      <c r="C57" t="s">
        <v>54</v>
      </c>
      <c r="D57" t="s">
        <v>1</v>
      </c>
      <c r="E57" t="s">
        <v>115</v>
      </c>
      <c r="F57" t="s">
        <v>99</v>
      </c>
      <c r="G57" t="s">
        <v>100</v>
      </c>
      <c r="H57" t="s">
        <v>103</v>
      </c>
      <c r="I57" t="s">
        <v>100</v>
      </c>
      <c r="J57" t="s">
        <v>101</v>
      </c>
      <c r="K57" t="s">
        <v>559</v>
      </c>
      <c r="L57" t="s">
        <v>559</v>
      </c>
      <c r="M57" t="s">
        <v>100</v>
      </c>
      <c r="N57" t="s">
        <v>833</v>
      </c>
      <c r="O57" t="s">
        <v>100</v>
      </c>
      <c r="Q57" t="s">
        <v>833</v>
      </c>
      <c r="R57" t="s">
        <v>119</v>
      </c>
      <c r="S57" t="s">
        <v>130</v>
      </c>
      <c r="T57" t="s">
        <v>120</v>
      </c>
      <c r="U57" t="s">
        <v>101</v>
      </c>
      <c r="V57" t="s">
        <v>121</v>
      </c>
      <c r="W57" t="s">
        <v>122</v>
      </c>
      <c r="X57" t="s">
        <v>123</v>
      </c>
      <c r="Y57">
        <v>1</v>
      </c>
      <c r="Z57" t="s">
        <v>848</v>
      </c>
      <c r="AA57" s="280">
        <v>45120</v>
      </c>
      <c r="AB57" t="s">
        <v>114</v>
      </c>
      <c r="AC57" t="s">
        <v>124</v>
      </c>
      <c r="AD57" s="280">
        <v>45382</v>
      </c>
      <c r="AE57" t="s">
        <v>125</v>
      </c>
      <c r="AF57">
        <v>5</v>
      </c>
      <c r="AG57">
        <v>0</v>
      </c>
      <c r="AH57">
        <v>0</v>
      </c>
      <c r="AI57" t="s">
        <v>126</v>
      </c>
      <c r="AL57">
        <v>3.2821917808219174</v>
      </c>
      <c r="AM57">
        <v>0</v>
      </c>
      <c r="AN57">
        <v>3.2821917808219174</v>
      </c>
      <c r="AO57">
        <v>2.2821917808219174</v>
      </c>
      <c r="AP57" t="s">
        <v>1050</v>
      </c>
      <c r="AR57" t="s">
        <v>127</v>
      </c>
      <c r="AS57">
        <v>42973.2</v>
      </c>
      <c r="AX57">
        <v>42973.2</v>
      </c>
      <c r="AY57">
        <v>28209.256767123286</v>
      </c>
      <c r="AZ57">
        <v>0</v>
      </c>
      <c r="BC57">
        <v>-14763.943232876711</v>
      </c>
      <c r="BE57" t="s">
        <v>114</v>
      </c>
      <c r="BH57">
        <v>-8594.6400000000012</v>
      </c>
      <c r="BI57">
        <v>-716.22000000000014</v>
      </c>
      <c r="BK57" t="s">
        <v>116</v>
      </c>
      <c r="BL57">
        <v>0</v>
      </c>
      <c r="BM57">
        <v>-23358.583232876714</v>
      </c>
      <c r="BR57">
        <v>0</v>
      </c>
      <c r="BS57">
        <v>19614.616767123283</v>
      </c>
      <c r="BT57">
        <v>-14763.943232876711</v>
      </c>
      <c r="BZ57" t="s">
        <v>1045</v>
      </c>
      <c r="CE57">
        <v>0</v>
      </c>
    </row>
    <row r="58" spans="1:83">
      <c r="A58">
        <v>1792</v>
      </c>
      <c r="B58">
        <v>0</v>
      </c>
      <c r="C58" t="s">
        <v>54</v>
      </c>
      <c r="D58" t="s">
        <v>1</v>
      </c>
      <c r="E58" t="s">
        <v>115</v>
      </c>
      <c r="F58" t="s">
        <v>99</v>
      </c>
      <c r="G58" t="s">
        <v>100</v>
      </c>
      <c r="H58" t="s">
        <v>103</v>
      </c>
      <c r="I58" t="s">
        <v>100</v>
      </c>
      <c r="J58" t="s">
        <v>101</v>
      </c>
      <c r="K58" t="s">
        <v>559</v>
      </c>
      <c r="L58" t="s">
        <v>559</v>
      </c>
      <c r="M58" t="s">
        <v>100</v>
      </c>
      <c r="N58" t="s">
        <v>832</v>
      </c>
      <c r="O58" t="s">
        <v>100</v>
      </c>
      <c r="Q58" t="s">
        <v>832</v>
      </c>
      <c r="R58" t="s">
        <v>119</v>
      </c>
      <c r="S58" t="s">
        <v>130</v>
      </c>
      <c r="T58" t="s">
        <v>120</v>
      </c>
      <c r="U58" t="s">
        <v>101</v>
      </c>
      <c r="V58" t="s">
        <v>121</v>
      </c>
      <c r="W58" t="s">
        <v>122</v>
      </c>
      <c r="X58" t="s">
        <v>123</v>
      </c>
      <c r="Y58">
        <v>1</v>
      </c>
      <c r="Z58" t="s">
        <v>848</v>
      </c>
      <c r="AA58" s="280">
        <v>45120</v>
      </c>
      <c r="AB58" t="s">
        <v>114</v>
      </c>
      <c r="AC58" t="s">
        <v>124</v>
      </c>
      <c r="AD58" s="280">
        <v>45382</v>
      </c>
      <c r="AE58" t="s">
        <v>125</v>
      </c>
      <c r="AF58">
        <v>5</v>
      </c>
      <c r="AG58">
        <v>0</v>
      </c>
      <c r="AH58">
        <v>0</v>
      </c>
      <c r="AI58" t="s">
        <v>126</v>
      </c>
      <c r="AL58">
        <v>3.2821917808219174</v>
      </c>
      <c r="AM58">
        <v>0</v>
      </c>
      <c r="AN58">
        <v>3.2821917808219174</v>
      </c>
      <c r="AO58">
        <v>2.2821917808219174</v>
      </c>
      <c r="AP58">
        <v>0</v>
      </c>
      <c r="AR58" t="s">
        <v>127</v>
      </c>
      <c r="AS58">
        <v>42973.2</v>
      </c>
      <c r="AX58">
        <v>42973.2</v>
      </c>
      <c r="AY58">
        <v>28209.256767123286</v>
      </c>
      <c r="AZ58">
        <v>0</v>
      </c>
      <c r="BC58">
        <v>-14763.943232876711</v>
      </c>
      <c r="BE58" t="s">
        <v>114</v>
      </c>
      <c r="BH58">
        <v>-8594.6400000000012</v>
      </c>
      <c r="BI58">
        <v>-716.22000000000014</v>
      </c>
      <c r="BK58" t="s">
        <v>116</v>
      </c>
      <c r="BL58">
        <v>0</v>
      </c>
      <c r="BM58">
        <v>-23358.583232876714</v>
      </c>
      <c r="BR58">
        <v>0</v>
      </c>
      <c r="BS58">
        <v>19614.616767123283</v>
      </c>
      <c r="BT58">
        <v>-14763.943232876711</v>
      </c>
      <c r="BZ58">
        <v>0</v>
      </c>
      <c r="CE58">
        <v>0</v>
      </c>
    </row>
    <row r="59" spans="1:83">
      <c r="A59">
        <v>1790</v>
      </c>
      <c r="B59">
        <v>0</v>
      </c>
      <c r="C59" t="s">
        <v>54</v>
      </c>
      <c r="D59" t="s">
        <v>1</v>
      </c>
      <c r="E59" t="s">
        <v>115</v>
      </c>
      <c r="F59" t="s">
        <v>99</v>
      </c>
      <c r="G59" t="s">
        <v>100</v>
      </c>
      <c r="H59" t="s">
        <v>103</v>
      </c>
      <c r="I59" t="s">
        <v>100</v>
      </c>
      <c r="J59" t="s">
        <v>101</v>
      </c>
      <c r="K59" t="s">
        <v>559</v>
      </c>
      <c r="L59" t="s">
        <v>559</v>
      </c>
      <c r="M59" t="s">
        <v>100</v>
      </c>
      <c r="N59" t="s">
        <v>831</v>
      </c>
      <c r="O59" t="s">
        <v>100</v>
      </c>
      <c r="Q59" t="s">
        <v>831</v>
      </c>
      <c r="R59" t="s">
        <v>119</v>
      </c>
      <c r="S59" t="s">
        <v>130</v>
      </c>
      <c r="T59" t="s">
        <v>120</v>
      </c>
      <c r="U59" t="s">
        <v>101</v>
      </c>
      <c r="V59" t="s">
        <v>121</v>
      </c>
      <c r="W59" t="s">
        <v>122</v>
      </c>
      <c r="X59" t="s">
        <v>123</v>
      </c>
      <c r="Y59">
        <v>1</v>
      </c>
      <c r="Z59" t="s">
        <v>848</v>
      </c>
      <c r="AA59" s="280">
        <v>45120</v>
      </c>
      <c r="AB59" t="s">
        <v>114</v>
      </c>
      <c r="AC59" t="s">
        <v>124</v>
      </c>
      <c r="AD59" s="280">
        <v>45382</v>
      </c>
      <c r="AE59" t="s">
        <v>125</v>
      </c>
      <c r="AF59">
        <v>5</v>
      </c>
      <c r="AG59">
        <v>0</v>
      </c>
      <c r="AH59">
        <v>0</v>
      </c>
      <c r="AI59" t="s">
        <v>126</v>
      </c>
      <c r="AL59">
        <v>3.2821917808219174</v>
      </c>
      <c r="AM59">
        <v>0</v>
      </c>
      <c r="AN59">
        <v>3.2821917808219174</v>
      </c>
      <c r="AO59">
        <v>2.2821917808219174</v>
      </c>
      <c r="AP59">
        <v>0</v>
      </c>
      <c r="AR59" t="s">
        <v>127</v>
      </c>
      <c r="AS59">
        <v>42973.2</v>
      </c>
      <c r="AX59">
        <v>42973.2</v>
      </c>
      <c r="AY59">
        <v>28209.256767123286</v>
      </c>
      <c r="AZ59">
        <v>0</v>
      </c>
      <c r="BC59">
        <v>-14763.943232876711</v>
      </c>
      <c r="BE59" t="s">
        <v>114</v>
      </c>
      <c r="BH59">
        <v>-8594.6400000000012</v>
      </c>
      <c r="BI59">
        <v>-716.22000000000014</v>
      </c>
      <c r="BK59" t="s">
        <v>116</v>
      </c>
      <c r="BL59">
        <v>0</v>
      </c>
      <c r="BM59">
        <v>-23358.583232876714</v>
      </c>
      <c r="BR59">
        <v>0</v>
      </c>
      <c r="BS59">
        <v>19614.616767123283</v>
      </c>
      <c r="BT59">
        <v>-14763.943232876711</v>
      </c>
      <c r="BZ59">
        <v>0</v>
      </c>
      <c r="CE59">
        <v>0</v>
      </c>
    </row>
    <row r="60" spans="1:83">
      <c r="A60">
        <v>1789</v>
      </c>
      <c r="B60" t="s">
        <v>914</v>
      </c>
      <c r="C60" t="s">
        <v>54</v>
      </c>
      <c r="D60" t="s">
        <v>1</v>
      </c>
      <c r="E60" t="s">
        <v>115</v>
      </c>
      <c r="F60" t="s">
        <v>99</v>
      </c>
      <c r="G60" t="s">
        <v>100</v>
      </c>
      <c r="H60" t="s">
        <v>103</v>
      </c>
      <c r="I60" t="s">
        <v>100</v>
      </c>
      <c r="J60" t="s">
        <v>101</v>
      </c>
      <c r="K60" t="s">
        <v>559</v>
      </c>
      <c r="L60" t="s">
        <v>559</v>
      </c>
      <c r="M60" t="s">
        <v>100</v>
      </c>
      <c r="N60" t="s">
        <v>830</v>
      </c>
      <c r="O60" t="s">
        <v>100</v>
      </c>
      <c r="Q60" t="s">
        <v>830</v>
      </c>
      <c r="R60" t="s">
        <v>119</v>
      </c>
      <c r="S60" t="s">
        <v>130</v>
      </c>
      <c r="T60" t="s">
        <v>120</v>
      </c>
      <c r="U60" t="s">
        <v>101</v>
      </c>
      <c r="V60" t="s">
        <v>121</v>
      </c>
      <c r="W60" t="s">
        <v>122</v>
      </c>
      <c r="X60" t="s">
        <v>123</v>
      </c>
      <c r="Y60">
        <v>1</v>
      </c>
      <c r="Z60" t="s">
        <v>848</v>
      </c>
      <c r="AA60" s="280">
        <v>45120</v>
      </c>
      <c r="AB60" t="s">
        <v>114</v>
      </c>
      <c r="AC60" t="s">
        <v>124</v>
      </c>
      <c r="AD60" s="280">
        <v>45382</v>
      </c>
      <c r="AE60" t="s">
        <v>125</v>
      </c>
      <c r="AF60">
        <v>5</v>
      </c>
      <c r="AG60">
        <v>0</v>
      </c>
      <c r="AH60">
        <v>0</v>
      </c>
      <c r="AI60" t="s">
        <v>126</v>
      </c>
      <c r="AL60">
        <v>3.2821917808219174</v>
      </c>
      <c r="AM60">
        <v>0</v>
      </c>
      <c r="AN60">
        <v>3.2821917808219174</v>
      </c>
      <c r="AO60">
        <v>2.2821917808219174</v>
      </c>
      <c r="AP60" t="s">
        <v>1050</v>
      </c>
      <c r="AR60" t="s">
        <v>127</v>
      </c>
      <c r="AS60">
        <v>42973.2</v>
      </c>
      <c r="AX60">
        <v>42973.2</v>
      </c>
      <c r="AY60">
        <v>28209.256767123286</v>
      </c>
      <c r="AZ60">
        <v>0</v>
      </c>
      <c r="BC60">
        <v>-14763.943232876711</v>
      </c>
      <c r="BE60" t="s">
        <v>114</v>
      </c>
      <c r="BH60">
        <v>-8594.6400000000012</v>
      </c>
      <c r="BI60">
        <v>-716.22000000000014</v>
      </c>
      <c r="BK60" t="s">
        <v>116</v>
      </c>
      <c r="BL60">
        <v>0</v>
      </c>
      <c r="BM60">
        <v>-23358.583232876714</v>
      </c>
      <c r="BR60">
        <v>0</v>
      </c>
      <c r="BS60">
        <v>19614.616767123283</v>
      </c>
      <c r="BT60">
        <v>-14763.943232876711</v>
      </c>
      <c r="BZ60" t="s">
        <v>953</v>
      </c>
      <c r="CE60">
        <v>0</v>
      </c>
    </row>
    <row r="61" spans="1:83">
      <c r="A61">
        <v>1764</v>
      </c>
      <c r="B61" t="s">
        <v>1122</v>
      </c>
      <c r="C61" t="s">
        <v>54</v>
      </c>
      <c r="D61" t="s">
        <v>1</v>
      </c>
      <c r="E61" t="s">
        <v>115</v>
      </c>
      <c r="F61" t="s">
        <v>99</v>
      </c>
      <c r="G61" t="s">
        <v>100</v>
      </c>
      <c r="H61" t="s">
        <v>103</v>
      </c>
      <c r="I61" t="s">
        <v>100</v>
      </c>
      <c r="J61" t="s">
        <v>101</v>
      </c>
      <c r="K61" t="s">
        <v>559</v>
      </c>
      <c r="L61" t="s">
        <v>559</v>
      </c>
      <c r="M61" t="s">
        <v>100</v>
      </c>
      <c r="N61" t="s">
        <v>829</v>
      </c>
      <c r="O61" t="s">
        <v>100</v>
      </c>
      <c r="Q61" t="s">
        <v>829</v>
      </c>
      <c r="R61" t="s">
        <v>119</v>
      </c>
      <c r="S61" t="s">
        <v>130</v>
      </c>
      <c r="T61" t="s">
        <v>120</v>
      </c>
      <c r="U61" t="s">
        <v>101</v>
      </c>
      <c r="V61" t="s">
        <v>121</v>
      </c>
      <c r="W61" t="s">
        <v>122</v>
      </c>
      <c r="X61" t="s">
        <v>123</v>
      </c>
      <c r="Y61">
        <v>1</v>
      </c>
      <c r="Z61" t="s">
        <v>848</v>
      </c>
      <c r="AA61" s="280">
        <v>45120</v>
      </c>
      <c r="AB61" t="s">
        <v>114</v>
      </c>
      <c r="AC61" t="s">
        <v>124</v>
      </c>
      <c r="AD61" s="280">
        <v>45382</v>
      </c>
      <c r="AE61" t="s">
        <v>125</v>
      </c>
      <c r="AF61">
        <v>5</v>
      </c>
      <c r="AG61">
        <v>0</v>
      </c>
      <c r="AH61">
        <v>0</v>
      </c>
      <c r="AI61" t="s">
        <v>126</v>
      </c>
      <c r="AL61">
        <v>3.2821917808219174</v>
      </c>
      <c r="AM61">
        <v>0</v>
      </c>
      <c r="AN61">
        <v>3.2821917808219174</v>
      </c>
      <c r="AO61">
        <v>2.2821917808219174</v>
      </c>
      <c r="AP61" t="s">
        <v>1050</v>
      </c>
      <c r="AR61" t="s">
        <v>127</v>
      </c>
      <c r="AS61">
        <v>42973.2</v>
      </c>
      <c r="AX61">
        <v>42973.2</v>
      </c>
      <c r="AY61">
        <v>28209.256767123286</v>
      </c>
      <c r="AZ61">
        <v>0</v>
      </c>
      <c r="BC61">
        <v>-14763.943232876711</v>
      </c>
      <c r="BE61" t="s">
        <v>114</v>
      </c>
      <c r="BH61">
        <v>-8594.6400000000012</v>
      </c>
      <c r="BI61">
        <v>-716.22000000000014</v>
      </c>
      <c r="BK61" t="s">
        <v>116</v>
      </c>
      <c r="BL61">
        <v>0</v>
      </c>
      <c r="BM61">
        <v>-23358.583232876714</v>
      </c>
      <c r="BR61">
        <v>0</v>
      </c>
      <c r="BS61">
        <v>19614.616767123283</v>
      </c>
      <c r="BT61">
        <v>-14763.943232876711</v>
      </c>
      <c r="BZ61" t="s">
        <v>992</v>
      </c>
      <c r="CE61">
        <v>0</v>
      </c>
    </row>
    <row r="62" spans="1:83">
      <c r="A62">
        <v>1747</v>
      </c>
      <c r="B62">
        <v>0</v>
      </c>
      <c r="C62" t="s">
        <v>54</v>
      </c>
      <c r="D62" t="s">
        <v>1</v>
      </c>
      <c r="E62" t="s">
        <v>115</v>
      </c>
      <c r="F62" t="s">
        <v>99</v>
      </c>
      <c r="G62" t="s">
        <v>100</v>
      </c>
      <c r="H62" t="s">
        <v>103</v>
      </c>
      <c r="I62" t="s">
        <v>100</v>
      </c>
      <c r="J62" t="s">
        <v>101</v>
      </c>
      <c r="K62" t="s">
        <v>559</v>
      </c>
      <c r="L62" t="s">
        <v>559</v>
      </c>
      <c r="M62" t="s">
        <v>100</v>
      </c>
      <c r="N62" t="s">
        <v>829</v>
      </c>
      <c r="O62" t="s">
        <v>100</v>
      </c>
      <c r="Q62" t="s">
        <v>829</v>
      </c>
      <c r="R62" t="s">
        <v>119</v>
      </c>
      <c r="S62" t="s">
        <v>130</v>
      </c>
      <c r="T62" t="s">
        <v>120</v>
      </c>
      <c r="U62" t="s">
        <v>101</v>
      </c>
      <c r="V62" t="s">
        <v>121</v>
      </c>
      <c r="W62" t="s">
        <v>122</v>
      </c>
      <c r="X62" t="s">
        <v>123</v>
      </c>
      <c r="Y62">
        <v>1</v>
      </c>
      <c r="Z62" t="s">
        <v>848</v>
      </c>
      <c r="AA62" s="280">
        <v>45120</v>
      </c>
      <c r="AB62" t="s">
        <v>114</v>
      </c>
      <c r="AC62" t="s">
        <v>124</v>
      </c>
      <c r="AD62" s="280">
        <v>45382</v>
      </c>
      <c r="AE62" t="s">
        <v>125</v>
      </c>
      <c r="AF62">
        <v>5</v>
      </c>
      <c r="AG62">
        <v>0</v>
      </c>
      <c r="AH62">
        <v>0</v>
      </c>
      <c r="AI62" t="s">
        <v>126</v>
      </c>
      <c r="AL62">
        <v>3.2821917808219174</v>
      </c>
      <c r="AM62">
        <v>0</v>
      </c>
      <c r="AN62">
        <v>3.2821917808219174</v>
      </c>
      <c r="AO62">
        <v>2.2821917808219174</v>
      </c>
      <c r="AP62">
        <v>0</v>
      </c>
      <c r="AR62" t="s">
        <v>127</v>
      </c>
      <c r="AS62">
        <v>42973.2</v>
      </c>
      <c r="AX62">
        <v>42973.2</v>
      </c>
      <c r="AY62">
        <v>28209.256767123286</v>
      </c>
      <c r="AZ62">
        <v>0</v>
      </c>
      <c r="BC62">
        <v>-14763.943232876711</v>
      </c>
      <c r="BE62" t="s">
        <v>114</v>
      </c>
      <c r="BH62">
        <v>-8594.6400000000012</v>
      </c>
      <c r="BI62">
        <v>-716.22000000000014</v>
      </c>
      <c r="BK62" t="s">
        <v>116</v>
      </c>
      <c r="BL62">
        <v>0</v>
      </c>
      <c r="BM62">
        <v>-23358.583232876714</v>
      </c>
      <c r="BR62">
        <v>0</v>
      </c>
      <c r="BS62">
        <v>19614.616767123283</v>
      </c>
      <c r="BT62">
        <v>-14763.943232876711</v>
      </c>
      <c r="BZ62">
        <v>0</v>
      </c>
      <c r="CE62">
        <v>0</v>
      </c>
    </row>
    <row r="63" spans="1:83">
      <c r="A63">
        <v>1714</v>
      </c>
      <c r="B63">
        <v>0</v>
      </c>
      <c r="C63" t="s">
        <v>54</v>
      </c>
      <c r="D63" t="s">
        <v>1</v>
      </c>
      <c r="E63" t="s">
        <v>115</v>
      </c>
      <c r="F63" t="s">
        <v>99</v>
      </c>
      <c r="G63" t="s">
        <v>100</v>
      </c>
      <c r="H63" t="s">
        <v>103</v>
      </c>
      <c r="I63" t="s">
        <v>100</v>
      </c>
      <c r="J63" t="s">
        <v>101</v>
      </c>
      <c r="K63" t="s">
        <v>559</v>
      </c>
      <c r="L63" t="s">
        <v>559</v>
      </c>
      <c r="M63" t="s">
        <v>100</v>
      </c>
      <c r="N63" t="s">
        <v>828</v>
      </c>
      <c r="O63" t="s">
        <v>100</v>
      </c>
      <c r="Q63" t="s">
        <v>828</v>
      </c>
      <c r="R63" t="s">
        <v>119</v>
      </c>
      <c r="S63" t="s">
        <v>130</v>
      </c>
      <c r="T63" t="s">
        <v>120</v>
      </c>
      <c r="U63" t="s">
        <v>101</v>
      </c>
      <c r="V63" t="s">
        <v>121</v>
      </c>
      <c r="W63" t="s">
        <v>122</v>
      </c>
      <c r="X63" t="s">
        <v>123</v>
      </c>
      <c r="Y63">
        <v>1</v>
      </c>
      <c r="Z63" t="s">
        <v>848</v>
      </c>
      <c r="AA63" s="280">
        <v>45120</v>
      </c>
      <c r="AB63" t="s">
        <v>114</v>
      </c>
      <c r="AC63" t="s">
        <v>124</v>
      </c>
      <c r="AD63" s="280">
        <v>45382</v>
      </c>
      <c r="AE63" t="s">
        <v>125</v>
      </c>
      <c r="AF63">
        <v>5</v>
      </c>
      <c r="AG63">
        <v>0</v>
      </c>
      <c r="AH63">
        <v>0</v>
      </c>
      <c r="AI63" t="s">
        <v>126</v>
      </c>
      <c r="AL63">
        <v>3.2821917808219174</v>
      </c>
      <c r="AM63">
        <v>0</v>
      </c>
      <c r="AN63">
        <v>3.2821917808219174</v>
      </c>
      <c r="AO63">
        <v>2.2821917808219174</v>
      </c>
      <c r="AP63">
        <v>0</v>
      </c>
      <c r="AR63" t="s">
        <v>127</v>
      </c>
      <c r="AS63">
        <v>42973.2</v>
      </c>
      <c r="AX63">
        <v>42973.2</v>
      </c>
      <c r="AY63">
        <v>28209.256767123286</v>
      </c>
      <c r="AZ63">
        <v>0</v>
      </c>
      <c r="BC63">
        <v>-14763.943232876711</v>
      </c>
      <c r="BE63" t="s">
        <v>114</v>
      </c>
      <c r="BH63">
        <v>-8594.6400000000012</v>
      </c>
      <c r="BI63">
        <v>-716.22000000000014</v>
      </c>
      <c r="BK63" t="s">
        <v>116</v>
      </c>
      <c r="BL63">
        <v>0</v>
      </c>
      <c r="BM63">
        <v>-23358.583232876714</v>
      </c>
      <c r="BR63">
        <v>0</v>
      </c>
      <c r="BS63">
        <v>19614.616767123283</v>
      </c>
      <c r="BT63">
        <v>-14763.943232876711</v>
      </c>
      <c r="BZ63">
        <v>0</v>
      </c>
      <c r="CE63">
        <v>0</v>
      </c>
    </row>
    <row r="64" spans="1:83">
      <c r="A64">
        <v>1713</v>
      </c>
      <c r="B64">
        <v>0</v>
      </c>
      <c r="C64" t="s">
        <v>54</v>
      </c>
      <c r="D64" t="s">
        <v>1</v>
      </c>
      <c r="E64" t="s">
        <v>115</v>
      </c>
      <c r="F64" t="s">
        <v>99</v>
      </c>
      <c r="G64" t="s">
        <v>100</v>
      </c>
      <c r="H64" t="s">
        <v>103</v>
      </c>
      <c r="I64" t="s">
        <v>100</v>
      </c>
      <c r="J64" t="s">
        <v>101</v>
      </c>
      <c r="K64" t="s">
        <v>559</v>
      </c>
      <c r="L64" t="s">
        <v>559</v>
      </c>
      <c r="M64" t="s">
        <v>100</v>
      </c>
      <c r="N64" t="s">
        <v>827</v>
      </c>
      <c r="O64" t="s">
        <v>100</v>
      </c>
      <c r="Q64" t="s">
        <v>827</v>
      </c>
      <c r="R64" t="s">
        <v>119</v>
      </c>
      <c r="S64" t="s">
        <v>130</v>
      </c>
      <c r="T64" t="s">
        <v>120</v>
      </c>
      <c r="U64" t="s">
        <v>101</v>
      </c>
      <c r="V64" t="s">
        <v>121</v>
      </c>
      <c r="W64" t="s">
        <v>122</v>
      </c>
      <c r="X64" t="s">
        <v>123</v>
      </c>
      <c r="Y64">
        <v>1</v>
      </c>
      <c r="Z64" t="s">
        <v>847</v>
      </c>
      <c r="AA64" s="280">
        <v>45064</v>
      </c>
      <c r="AB64" t="s">
        <v>114</v>
      </c>
      <c r="AC64" t="s">
        <v>124</v>
      </c>
      <c r="AD64" s="280">
        <v>45382</v>
      </c>
      <c r="AE64" t="s">
        <v>125</v>
      </c>
      <c r="AF64">
        <v>5</v>
      </c>
      <c r="AG64">
        <v>0</v>
      </c>
      <c r="AH64">
        <v>0</v>
      </c>
      <c r="AI64" t="s">
        <v>126</v>
      </c>
      <c r="AL64">
        <v>3.1287671232876715</v>
      </c>
      <c r="AM64">
        <v>0</v>
      </c>
      <c r="AN64">
        <v>3.1287671232876715</v>
      </c>
      <c r="AO64">
        <v>2.1287671232876715</v>
      </c>
      <c r="AP64">
        <v>0</v>
      </c>
      <c r="AR64" t="s">
        <v>127</v>
      </c>
      <c r="AS64">
        <v>58000</v>
      </c>
      <c r="AX64">
        <v>58000</v>
      </c>
      <c r="AY64">
        <v>36293.698630136991</v>
      </c>
      <c r="AZ64">
        <v>0</v>
      </c>
      <c r="BC64">
        <v>-21706.301369863013</v>
      </c>
      <c r="BE64" t="s">
        <v>114</v>
      </c>
      <c r="BH64">
        <v>-11600</v>
      </c>
      <c r="BI64">
        <v>-966.66666666666663</v>
      </c>
      <c r="BK64" t="s">
        <v>116</v>
      </c>
      <c r="BL64">
        <v>0</v>
      </c>
      <c r="BM64">
        <v>-33306.301369863009</v>
      </c>
      <c r="BR64">
        <v>0</v>
      </c>
      <c r="BS64">
        <v>24693.698630136991</v>
      </c>
      <c r="BT64">
        <v>-21706.301369863013</v>
      </c>
      <c r="BZ64">
        <v>0</v>
      </c>
      <c r="CE64">
        <v>0</v>
      </c>
    </row>
    <row r="65" spans="1:83">
      <c r="A65">
        <v>1569</v>
      </c>
      <c r="B65" t="s">
        <v>851</v>
      </c>
      <c r="C65" t="s">
        <v>54</v>
      </c>
      <c r="D65" t="s">
        <v>1</v>
      </c>
      <c r="E65" t="s">
        <v>115</v>
      </c>
      <c r="F65" t="s">
        <v>99</v>
      </c>
      <c r="G65" t="s">
        <v>100</v>
      </c>
      <c r="H65" t="s">
        <v>103</v>
      </c>
      <c r="I65" t="s">
        <v>100</v>
      </c>
      <c r="J65" t="s">
        <v>101</v>
      </c>
      <c r="K65" t="s">
        <v>559</v>
      </c>
      <c r="L65" t="s">
        <v>559</v>
      </c>
      <c r="M65" t="s">
        <v>100</v>
      </c>
      <c r="N65" t="s">
        <v>748</v>
      </c>
      <c r="O65" t="s">
        <v>100</v>
      </c>
      <c r="Q65" t="s">
        <v>748</v>
      </c>
      <c r="R65" t="s">
        <v>119</v>
      </c>
      <c r="S65" t="s">
        <v>130</v>
      </c>
      <c r="T65" t="s">
        <v>120</v>
      </c>
      <c r="U65" t="s">
        <v>101</v>
      </c>
      <c r="V65" t="s">
        <v>121</v>
      </c>
      <c r="W65" t="s">
        <v>122</v>
      </c>
      <c r="X65" t="s">
        <v>123</v>
      </c>
      <c r="Y65">
        <v>1</v>
      </c>
      <c r="Z65" t="s">
        <v>765</v>
      </c>
      <c r="AA65" s="280">
        <v>44868</v>
      </c>
      <c r="AB65" t="s">
        <v>114</v>
      </c>
      <c r="AC65" t="s">
        <v>124</v>
      </c>
      <c r="AD65" s="280">
        <v>45016</v>
      </c>
      <c r="AE65" t="s">
        <v>125</v>
      </c>
      <c r="AF65">
        <v>6</v>
      </c>
      <c r="AG65">
        <v>0</v>
      </c>
      <c r="AH65">
        <v>0</v>
      </c>
      <c r="AI65" t="s">
        <v>126</v>
      </c>
      <c r="AL65">
        <v>3.5945205479452058</v>
      </c>
      <c r="AM65">
        <v>0</v>
      </c>
      <c r="AN65">
        <v>3.5945205479452058</v>
      </c>
      <c r="AO65">
        <v>2.5945205479452058</v>
      </c>
      <c r="AP65" t="s">
        <v>1051</v>
      </c>
      <c r="AR65" t="s">
        <v>127</v>
      </c>
      <c r="AS65">
        <v>23099</v>
      </c>
      <c r="AX65">
        <v>23099</v>
      </c>
      <c r="AY65">
        <v>4499.5500000000011</v>
      </c>
      <c r="AZ65">
        <v>0</v>
      </c>
      <c r="BC65">
        <v>-9260.6949771689488</v>
      </c>
      <c r="BE65" t="s">
        <v>114</v>
      </c>
      <c r="BH65">
        <v>-1251.7802972560978</v>
      </c>
      <c r="BI65">
        <v>-104.31502477134148</v>
      </c>
      <c r="BK65" t="s">
        <v>116</v>
      </c>
      <c r="BL65">
        <v>0</v>
      </c>
      <c r="BM65">
        <v>-10512.475274425047</v>
      </c>
      <c r="BN65">
        <v>-9338.7550228310502</v>
      </c>
      <c r="BO65">
        <v>0</v>
      </c>
      <c r="BR65">
        <v>-9338.7550228310502</v>
      </c>
      <c r="BS65">
        <v>3247.7697027439026</v>
      </c>
      <c r="BT65">
        <v>-9260.6949771689488</v>
      </c>
      <c r="BZ65" t="s">
        <v>940</v>
      </c>
      <c r="CE65">
        <v>0</v>
      </c>
    </row>
    <row r="66" spans="1:83">
      <c r="A66" t="s">
        <v>712</v>
      </c>
      <c r="B66">
        <v>0</v>
      </c>
      <c r="C66" t="s">
        <v>54</v>
      </c>
      <c r="D66" t="s">
        <v>1</v>
      </c>
      <c r="E66" t="s">
        <v>115</v>
      </c>
      <c r="F66" t="s">
        <v>99</v>
      </c>
      <c r="G66" t="s">
        <v>100</v>
      </c>
      <c r="H66" t="s">
        <v>103</v>
      </c>
      <c r="I66" t="s">
        <v>100</v>
      </c>
      <c r="J66" t="s">
        <v>101</v>
      </c>
      <c r="K66" t="s">
        <v>559</v>
      </c>
      <c r="L66" t="s">
        <v>559</v>
      </c>
      <c r="M66" t="s">
        <v>100</v>
      </c>
      <c r="N66" t="s">
        <v>746</v>
      </c>
      <c r="O66" t="s">
        <v>100</v>
      </c>
      <c r="Q66" t="s">
        <v>746</v>
      </c>
      <c r="R66" t="s">
        <v>119</v>
      </c>
      <c r="S66" t="s">
        <v>130</v>
      </c>
      <c r="T66" t="s">
        <v>120</v>
      </c>
      <c r="U66" t="s">
        <v>101</v>
      </c>
      <c r="V66" t="s">
        <v>121</v>
      </c>
      <c r="W66" t="s">
        <v>122</v>
      </c>
      <c r="X66" t="s">
        <v>123</v>
      </c>
      <c r="Y66">
        <v>1</v>
      </c>
      <c r="Z66" t="s">
        <v>764</v>
      </c>
      <c r="AA66" s="280">
        <v>44789</v>
      </c>
      <c r="AB66" t="s">
        <v>114</v>
      </c>
      <c r="AC66" t="s">
        <v>124</v>
      </c>
      <c r="AD66" s="280">
        <v>45016</v>
      </c>
      <c r="AE66" t="s">
        <v>125</v>
      </c>
      <c r="AF66">
        <v>3</v>
      </c>
      <c r="AG66">
        <v>0</v>
      </c>
      <c r="AH66">
        <v>0</v>
      </c>
      <c r="AI66" t="s">
        <v>126</v>
      </c>
      <c r="AL66">
        <v>0.37808219178082192</v>
      </c>
      <c r="AM66">
        <v>0</v>
      </c>
      <c r="AN66">
        <v>0.37808219178082192</v>
      </c>
      <c r="AO66">
        <v>-0.62191780821917808</v>
      </c>
      <c r="AP66">
        <v>0</v>
      </c>
      <c r="AR66" t="s">
        <v>127</v>
      </c>
      <c r="AS66">
        <v>27181.49</v>
      </c>
      <c r="AX66">
        <v>27181.49</v>
      </c>
      <c r="AY66">
        <v>3425.6124383561655</v>
      </c>
      <c r="AZ66">
        <v>0</v>
      </c>
      <c r="BC66">
        <v>-23755.877561643836</v>
      </c>
      <c r="BE66" t="s">
        <v>114</v>
      </c>
      <c r="BH66">
        <v>-9060.4966666666696</v>
      </c>
      <c r="BI66">
        <v>-755.04138888888917</v>
      </c>
      <c r="BK66" t="s">
        <v>116</v>
      </c>
      <c r="BL66">
        <v>0</v>
      </c>
      <c r="BM66">
        <v>-32816.374228310509</v>
      </c>
      <c r="BR66">
        <v>0</v>
      </c>
      <c r="BS66">
        <v>-5634.8842283105078</v>
      </c>
      <c r="BT66">
        <v>-23755.877561643836</v>
      </c>
      <c r="BZ66">
        <v>0</v>
      </c>
      <c r="CE66">
        <v>0</v>
      </c>
    </row>
    <row r="67" spans="1:83">
      <c r="A67" t="s">
        <v>711</v>
      </c>
      <c r="B67">
        <v>0</v>
      </c>
      <c r="C67" t="s">
        <v>54</v>
      </c>
      <c r="D67" t="s">
        <v>1</v>
      </c>
      <c r="E67" t="s">
        <v>115</v>
      </c>
      <c r="F67" t="s">
        <v>99</v>
      </c>
      <c r="G67" t="s">
        <v>100</v>
      </c>
      <c r="H67" t="s">
        <v>103</v>
      </c>
      <c r="I67" t="s">
        <v>100</v>
      </c>
      <c r="J67" t="s">
        <v>101</v>
      </c>
      <c r="K67" t="s">
        <v>559</v>
      </c>
      <c r="L67" t="s">
        <v>559</v>
      </c>
      <c r="M67" t="s">
        <v>100</v>
      </c>
      <c r="N67" t="s">
        <v>747</v>
      </c>
      <c r="O67" t="s">
        <v>100</v>
      </c>
      <c r="Q67" t="s">
        <v>747</v>
      </c>
      <c r="R67" t="s">
        <v>119</v>
      </c>
      <c r="S67" t="s">
        <v>130</v>
      </c>
      <c r="T67" t="s">
        <v>120</v>
      </c>
      <c r="U67" t="s">
        <v>101</v>
      </c>
      <c r="V67" t="s">
        <v>121</v>
      </c>
      <c r="W67" t="s">
        <v>122</v>
      </c>
      <c r="X67" t="s">
        <v>123</v>
      </c>
      <c r="Y67">
        <v>1</v>
      </c>
      <c r="Z67" t="s">
        <v>764</v>
      </c>
      <c r="AA67" s="280">
        <v>44789</v>
      </c>
      <c r="AB67" t="s">
        <v>114</v>
      </c>
      <c r="AC67" t="s">
        <v>124</v>
      </c>
      <c r="AD67" s="280">
        <v>45016</v>
      </c>
      <c r="AE67" t="s">
        <v>125</v>
      </c>
      <c r="AF67">
        <v>3</v>
      </c>
      <c r="AG67">
        <v>0</v>
      </c>
      <c r="AH67">
        <v>0</v>
      </c>
      <c r="AI67" t="s">
        <v>126</v>
      </c>
      <c r="AL67">
        <v>0.37808219178082192</v>
      </c>
      <c r="AM67">
        <v>0</v>
      </c>
      <c r="AN67">
        <v>0.37808219178082192</v>
      </c>
      <c r="AO67">
        <v>-0.62191780821917808</v>
      </c>
      <c r="AP67">
        <v>0</v>
      </c>
      <c r="AR67" t="s">
        <v>127</v>
      </c>
      <c r="AS67">
        <v>30852.01</v>
      </c>
      <c r="AX67">
        <v>30852.01</v>
      </c>
      <c r="AY67">
        <v>3888.1985205479468</v>
      </c>
      <c r="AZ67">
        <v>0</v>
      </c>
      <c r="BC67">
        <v>-26963.811479452052</v>
      </c>
      <c r="BE67" t="s">
        <v>114</v>
      </c>
      <c r="BH67">
        <v>-10284.003333333338</v>
      </c>
      <c r="BI67">
        <v>-857.00027777777814</v>
      </c>
      <c r="BK67" t="s">
        <v>116</v>
      </c>
      <c r="BL67">
        <v>0</v>
      </c>
      <c r="BM67">
        <v>-37247.814812785393</v>
      </c>
      <c r="BR67">
        <v>0</v>
      </c>
      <c r="BS67">
        <v>-6395.8048127853945</v>
      </c>
      <c r="BT67">
        <v>-26963.811479452052</v>
      </c>
      <c r="BZ67">
        <v>0</v>
      </c>
      <c r="CE67">
        <v>0</v>
      </c>
    </row>
    <row r="68" spans="1:83">
      <c r="A68" t="s">
        <v>710</v>
      </c>
      <c r="B68">
        <v>0</v>
      </c>
      <c r="C68" t="s">
        <v>54</v>
      </c>
      <c r="D68" t="s">
        <v>1</v>
      </c>
      <c r="E68" t="s">
        <v>115</v>
      </c>
      <c r="F68" t="s">
        <v>99</v>
      </c>
      <c r="G68" t="s">
        <v>100</v>
      </c>
      <c r="H68" t="s">
        <v>103</v>
      </c>
      <c r="I68" t="s">
        <v>100</v>
      </c>
      <c r="J68" t="s">
        <v>101</v>
      </c>
      <c r="K68" t="s">
        <v>559</v>
      </c>
      <c r="L68" t="s">
        <v>559</v>
      </c>
      <c r="M68" t="s">
        <v>100</v>
      </c>
      <c r="N68" t="s">
        <v>746</v>
      </c>
      <c r="O68" t="s">
        <v>100</v>
      </c>
      <c r="Q68" t="s">
        <v>746</v>
      </c>
      <c r="R68" t="s">
        <v>119</v>
      </c>
      <c r="S68" t="s">
        <v>130</v>
      </c>
      <c r="T68" t="s">
        <v>120</v>
      </c>
      <c r="U68" t="s">
        <v>101</v>
      </c>
      <c r="V68" t="s">
        <v>121</v>
      </c>
      <c r="W68" t="s">
        <v>122</v>
      </c>
      <c r="X68" t="s">
        <v>123</v>
      </c>
      <c r="Y68">
        <v>1</v>
      </c>
      <c r="Z68" t="s">
        <v>764</v>
      </c>
      <c r="AA68" s="280">
        <v>44789</v>
      </c>
      <c r="AB68" t="s">
        <v>114</v>
      </c>
      <c r="AC68" t="s">
        <v>124</v>
      </c>
      <c r="AD68" s="280">
        <v>45016</v>
      </c>
      <c r="AE68" t="s">
        <v>125</v>
      </c>
      <c r="AF68">
        <v>3</v>
      </c>
      <c r="AG68">
        <v>0</v>
      </c>
      <c r="AH68">
        <v>0</v>
      </c>
      <c r="AI68" t="s">
        <v>126</v>
      </c>
      <c r="AL68">
        <v>0.37808219178082192</v>
      </c>
      <c r="AM68">
        <v>0</v>
      </c>
      <c r="AN68">
        <v>0.37808219178082192</v>
      </c>
      <c r="AO68">
        <v>-0.62191780821917808</v>
      </c>
      <c r="AP68">
        <v>0</v>
      </c>
      <c r="AR68" t="s">
        <v>127</v>
      </c>
      <c r="AS68">
        <v>30852.01</v>
      </c>
      <c r="AX68">
        <v>30852.01</v>
      </c>
      <c r="AY68">
        <v>3888.1985205479468</v>
      </c>
      <c r="AZ68">
        <v>0</v>
      </c>
      <c r="BC68">
        <v>-26963.811479452052</v>
      </c>
      <c r="BE68" t="s">
        <v>114</v>
      </c>
      <c r="BH68">
        <v>-10284.003333333338</v>
      </c>
      <c r="BI68">
        <v>-857.00027777777814</v>
      </c>
      <c r="BK68" t="s">
        <v>116</v>
      </c>
      <c r="BL68">
        <v>0</v>
      </c>
      <c r="BM68">
        <v>-37247.814812785393</v>
      </c>
      <c r="BR68">
        <v>0</v>
      </c>
      <c r="BS68">
        <v>-6395.8048127853945</v>
      </c>
      <c r="BT68">
        <v>-26963.811479452052</v>
      </c>
      <c r="BZ68">
        <v>0</v>
      </c>
      <c r="CE68">
        <v>0</v>
      </c>
    </row>
    <row r="69" spans="1:83">
      <c r="A69" t="s">
        <v>709</v>
      </c>
      <c r="B69">
        <v>0</v>
      </c>
      <c r="C69" t="s">
        <v>54</v>
      </c>
      <c r="D69" t="s">
        <v>1</v>
      </c>
      <c r="E69" t="s">
        <v>115</v>
      </c>
      <c r="F69" t="s">
        <v>99</v>
      </c>
      <c r="G69" t="s">
        <v>100</v>
      </c>
      <c r="H69" t="s">
        <v>103</v>
      </c>
      <c r="I69" t="s">
        <v>100</v>
      </c>
      <c r="J69" t="s">
        <v>101</v>
      </c>
      <c r="K69" t="s">
        <v>559</v>
      </c>
      <c r="L69" t="s">
        <v>559</v>
      </c>
      <c r="M69" t="s">
        <v>100</v>
      </c>
      <c r="N69" t="s">
        <v>746</v>
      </c>
      <c r="O69" t="s">
        <v>100</v>
      </c>
      <c r="Q69" t="s">
        <v>746</v>
      </c>
      <c r="R69" t="s">
        <v>119</v>
      </c>
      <c r="S69" t="s">
        <v>130</v>
      </c>
      <c r="T69" t="s">
        <v>120</v>
      </c>
      <c r="U69" t="s">
        <v>101</v>
      </c>
      <c r="V69" t="s">
        <v>121</v>
      </c>
      <c r="W69" t="s">
        <v>122</v>
      </c>
      <c r="X69" t="s">
        <v>123</v>
      </c>
      <c r="Y69">
        <v>1</v>
      </c>
      <c r="Z69" t="s">
        <v>764</v>
      </c>
      <c r="AA69" s="280">
        <v>44789</v>
      </c>
      <c r="AB69" t="s">
        <v>114</v>
      </c>
      <c r="AC69" t="s">
        <v>124</v>
      </c>
      <c r="AD69" s="280">
        <v>45016</v>
      </c>
      <c r="AE69" t="s">
        <v>125</v>
      </c>
      <c r="AF69">
        <v>3</v>
      </c>
      <c r="AG69">
        <v>0</v>
      </c>
      <c r="AH69">
        <v>0</v>
      </c>
      <c r="AI69" t="s">
        <v>126</v>
      </c>
      <c r="AL69">
        <v>0.37808219178082192</v>
      </c>
      <c r="AM69">
        <v>0</v>
      </c>
      <c r="AN69">
        <v>0.37808219178082192</v>
      </c>
      <c r="AO69">
        <v>-0.62191780821917808</v>
      </c>
      <c r="AP69">
        <v>0</v>
      </c>
      <c r="AR69" t="s">
        <v>127</v>
      </c>
      <c r="AS69">
        <v>30852.01</v>
      </c>
      <c r="AX69">
        <v>30852.01</v>
      </c>
      <c r="AY69">
        <v>3888.1985205479468</v>
      </c>
      <c r="AZ69">
        <v>0</v>
      </c>
      <c r="BC69">
        <v>-26963.811479452052</v>
      </c>
      <c r="BE69" t="s">
        <v>114</v>
      </c>
      <c r="BH69">
        <v>-10284.003333333338</v>
      </c>
      <c r="BI69">
        <v>-857.00027777777814</v>
      </c>
      <c r="BK69" t="s">
        <v>116</v>
      </c>
      <c r="BL69">
        <v>0</v>
      </c>
      <c r="BM69">
        <v>-37247.814812785393</v>
      </c>
      <c r="BR69">
        <v>0</v>
      </c>
      <c r="BS69">
        <v>-6395.8048127853945</v>
      </c>
      <c r="BT69">
        <v>-26963.811479452052</v>
      </c>
      <c r="BZ69">
        <v>0</v>
      </c>
      <c r="CE69">
        <v>0</v>
      </c>
    </row>
    <row r="70" spans="1:83">
      <c r="A70" t="s">
        <v>708</v>
      </c>
      <c r="B70" t="s">
        <v>901</v>
      </c>
      <c r="C70" t="s">
        <v>54</v>
      </c>
      <c r="D70" t="s">
        <v>1</v>
      </c>
      <c r="E70" t="s">
        <v>115</v>
      </c>
      <c r="F70" t="s">
        <v>99</v>
      </c>
      <c r="G70" t="s">
        <v>100</v>
      </c>
      <c r="H70" t="s">
        <v>103</v>
      </c>
      <c r="I70" t="s">
        <v>100</v>
      </c>
      <c r="J70" t="s">
        <v>101</v>
      </c>
      <c r="K70" t="s">
        <v>559</v>
      </c>
      <c r="L70" t="s">
        <v>559</v>
      </c>
      <c r="M70" t="s">
        <v>100</v>
      </c>
      <c r="N70" t="s">
        <v>746</v>
      </c>
      <c r="O70" t="s">
        <v>100</v>
      </c>
      <c r="Q70" t="s">
        <v>746</v>
      </c>
      <c r="R70" t="s">
        <v>119</v>
      </c>
      <c r="S70" t="s">
        <v>130</v>
      </c>
      <c r="T70" t="s">
        <v>120</v>
      </c>
      <c r="U70" t="s">
        <v>101</v>
      </c>
      <c r="V70" t="s">
        <v>121</v>
      </c>
      <c r="W70" t="s">
        <v>122</v>
      </c>
      <c r="X70" t="s">
        <v>123</v>
      </c>
      <c r="Y70">
        <v>1</v>
      </c>
      <c r="Z70" t="s">
        <v>764</v>
      </c>
      <c r="AA70" s="280">
        <v>44789</v>
      </c>
      <c r="AB70" t="s">
        <v>114</v>
      </c>
      <c r="AC70" t="s">
        <v>124</v>
      </c>
      <c r="AD70" s="280">
        <v>45016</v>
      </c>
      <c r="AE70" t="s">
        <v>125</v>
      </c>
      <c r="AF70">
        <v>3</v>
      </c>
      <c r="AG70">
        <v>0</v>
      </c>
      <c r="AH70">
        <v>0</v>
      </c>
      <c r="AI70" t="s">
        <v>126</v>
      </c>
      <c r="AL70">
        <v>0.37808219178082192</v>
      </c>
      <c r="AM70">
        <v>0</v>
      </c>
      <c r="AN70">
        <v>0.37808219178082192</v>
      </c>
      <c r="AO70">
        <v>-0.62191780821917808</v>
      </c>
      <c r="AP70" t="s">
        <v>1051</v>
      </c>
      <c r="AR70" t="s">
        <v>127</v>
      </c>
      <c r="AS70">
        <v>30852.01</v>
      </c>
      <c r="AX70">
        <v>30852.01</v>
      </c>
      <c r="AY70">
        <v>3888.1985205479468</v>
      </c>
      <c r="AZ70">
        <v>0</v>
      </c>
      <c r="BC70">
        <v>-26963.811479452052</v>
      </c>
      <c r="BE70" t="s">
        <v>114</v>
      </c>
      <c r="BH70">
        <v>-10284.003333333338</v>
      </c>
      <c r="BI70">
        <v>-857.00027777777814</v>
      </c>
      <c r="BK70" t="s">
        <v>116</v>
      </c>
      <c r="BL70">
        <v>0</v>
      </c>
      <c r="BM70">
        <v>-37247.814812785393</v>
      </c>
      <c r="BR70">
        <v>0</v>
      </c>
      <c r="BS70">
        <v>-6395.8048127853945</v>
      </c>
      <c r="BT70">
        <v>-26963.811479452052</v>
      </c>
      <c r="BZ70" t="s">
        <v>989</v>
      </c>
      <c r="CE70">
        <v>0</v>
      </c>
    </row>
    <row r="71" spans="1:83">
      <c r="A71" t="s">
        <v>706</v>
      </c>
      <c r="B71" t="s">
        <v>900</v>
      </c>
      <c r="C71" t="s">
        <v>54</v>
      </c>
      <c r="D71" t="s">
        <v>1</v>
      </c>
      <c r="E71" t="s">
        <v>115</v>
      </c>
      <c r="F71" t="s">
        <v>99</v>
      </c>
      <c r="G71" t="s">
        <v>100</v>
      </c>
      <c r="H71" t="s">
        <v>103</v>
      </c>
      <c r="I71" t="s">
        <v>100</v>
      </c>
      <c r="J71" t="s">
        <v>101</v>
      </c>
      <c r="K71" t="s">
        <v>559</v>
      </c>
      <c r="L71" t="s">
        <v>559</v>
      </c>
      <c r="M71" t="s">
        <v>100</v>
      </c>
      <c r="N71" t="s">
        <v>746</v>
      </c>
      <c r="O71" t="s">
        <v>100</v>
      </c>
      <c r="Q71" t="s">
        <v>746</v>
      </c>
      <c r="R71" t="s">
        <v>119</v>
      </c>
      <c r="S71" t="s">
        <v>130</v>
      </c>
      <c r="T71" t="s">
        <v>120</v>
      </c>
      <c r="U71" t="s">
        <v>101</v>
      </c>
      <c r="V71" t="s">
        <v>121</v>
      </c>
      <c r="W71" t="s">
        <v>122</v>
      </c>
      <c r="X71" t="s">
        <v>123</v>
      </c>
      <c r="Y71">
        <v>1</v>
      </c>
      <c r="Z71" t="s">
        <v>764</v>
      </c>
      <c r="AA71" s="280">
        <v>44789</v>
      </c>
      <c r="AB71" t="s">
        <v>114</v>
      </c>
      <c r="AC71" t="s">
        <v>124</v>
      </c>
      <c r="AD71" s="280">
        <v>45016</v>
      </c>
      <c r="AE71" t="s">
        <v>125</v>
      </c>
      <c r="AF71">
        <v>3</v>
      </c>
      <c r="AG71">
        <v>0</v>
      </c>
      <c r="AH71">
        <v>0</v>
      </c>
      <c r="AI71" t="s">
        <v>126</v>
      </c>
      <c r="AL71">
        <v>0.37808219178082192</v>
      </c>
      <c r="AM71">
        <v>0</v>
      </c>
      <c r="AN71">
        <v>0.37808219178082192</v>
      </c>
      <c r="AO71">
        <v>-0.62191780821917808</v>
      </c>
      <c r="AP71" t="s">
        <v>1051</v>
      </c>
      <c r="AR71" t="s">
        <v>127</v>
      </c>
      <c r="AS71">
        <v>30852.01</v>
      </c>
      <c r="AX71">
        <v>30852.01</v>
      </c>
      <c r="AY71">
        <v>3888.1985205479468</v>
      </c>
      <c r="AZ71">
        <v>0</v>
      </c>
      <c r="BC71">
        <v>-26963.811479452052</v>
      </c>
      <c r="BE71" t="s">
        <v>114</v>
      </c>
      <c r="BH71">
        <v>-10284.003333333338</v>
      </c>
      <c r="BI71">
        <v>-857.00027777777814</v>
      </c>
      <c r="BK71" t="s">
        <v>116</v>
      </c>
      <c r="BL71">
        <v>0</v>
      </c>
      <c r="BM71">
        <v>-37247.814812785393</v>
      </c>
      <c r="BR71">
        <v>0</v>
      </c>
      <c r="BS71">
        <v>-6395.8048127853945</v>
      </c>
      <c r="BT71">
        <v>-26963.811479452052</v>
      </c>
      <c r="BZ71" t="s">
        <v>1036</v>
      </c>
      <c r="CE71">
        <v>0</v>
      </c>
    </row>
    <row r="72" spans="1:83">
      <c r="A72" t="s">
        <v>704</v>
      </c>
      <c r="B72">
        <v>0</v>
      </c>
      <c r="C72" t="s">
        <v>54</v>
      </c>
      <c r="D72" t="s">
        <v>1</v>
      </c>
      <c r="E72" t="s">
        <v>115</v>
      </c>
      <c r="F72" t="s">
        <v>99</v>
      </c>
      <c r="G72" t="s">
        <v>100</v>
      </c>
      <c r="H72" t="s">
        <v>103</v>
      </c>
      <c r="I72" t="s">
        <v>100</v>
      </c>
      <c r="J72" t="s">
        <v>101</v>
      </c>
      <c r="K72" t="s">
        <v>559</v>
      </c>
      <c r="L72" t="s">
        <v>559</v>
      </c>
      <c r="M72" t="s">
        <v>100</v>
      </c>
      <c r="N72" t="s">
        <v>746</v>
      </c>
      <c r="O72" t="s">
        <v>100</v>
      </c>
      <c r="Q72" t="s">
        <v>746</v>
      </c>
      <c r="R72" t="s">
        <v>119</v>
      </c>
      <c r="S72" t="s">
        <v>130</v>
      </c>
      <c r="T72" t="s">
        <v>120</v>
      </c>
      <c r="U72" t="s">
        <v>101</v>
      </c>
      <c r="V72" t="s">
        <v>121</v>
      </c>
      <c r="W72" t="s">
        <v>122</v>
      </c>
      <c r="X72" t="s">
        <v>123</v>
      </c>
      <c r="Y72">
        <v>1</v>
      </c>
      <c r="Z72" t="s">
        <v>764</v>
      </c>
      <c r="AA72" s="280">
        <v>44789</v>
      </c>
      <c r="AB72" t="s">
        <v>114</v>
      </c>
      <c r="AC72" t="s">
        <v>124</v>
      </c>
      <c r="AD72" s="280">
        <v>45016</v>
      </c>
      <c r="AE72" t="s">
        <v>125</v>
      </c>
      <c r="AF72">
        <v>3</v>
      </c>
      <c r="AG72">
        <v>0</v>
      </c>
      <c r="AH72">
        <v>0</v>
      </c>
      <c r="AI72" t="s">
        <v>126</v>
      </c>
      <c r="AL72">
        <v>0.37808219178082192</v>
      </c>
      <c r="AM72">
        <v>0</v>
      </c>
      <c r="AN72">
        <v>0.37808219178082192</v>
      </c>
      <c r="AO72">
        <v>-0.62191780821917808</v>
      </c>
      <c r="AP72">
        <v>0</v>
      </c>
      <c r="AR72" t="s">
        <v>127</v>
      </c>
      <c r="AS72">
        <v>30852.01</v>
      </c>
      <c r="AX72">
        <v>30852.01</v>
      </c>
      <c r="AY72">
        <v>3888.1985205479468</v>
      </c>
      <c r="AZ72">
        <v>0</v>
      </c>
      <c r="BC72">
        <v>-26963.811479452052</v>
      </c>
      <c r="BE72" t="s">
        <v>114</v>
      </c>
      <c r="BH72">
        <v>-10284.003333333338</v>
      </c>
      <c r="BI72">
        <v>-857.00027777777814</v>
      </c>
      <c r="BK72" t="s">
        <v>116</v>
      </c>
      <c r="BL72">
        <v>0</v>
      </c>
      <c r="BM72">
        <v>-37247.814812785393</v>
      </c>
      <c r="BR72">
        <v>0</v>
      </c>
      <c r="BS72">
        <v>-6395.8048127853945</v>
      </c>
      <c r="BT72">
        <v>-26963.811479452052</v>
      </c>
      <c r="BZ72">
        <v>0</v>
      </c>
      <c r="CE72">
        <v>0</v>
      </c>
    </row>
    <row r="73" spans="1:83">
      <c r="A73" t="s">
        <v>703</v>
      </c>
      <c r="B73" t="s">
        <v>901</v>
      </c>
      <c r="C73" t="s">
        <v>54</v>
      </c>
      <c r="D73" t="s">
        <v>1</v>
      </c>
      <c r="E73" t="s">
        <v>115</v>
      </c>
      <c r="F73" t="s">
        <v>99</v>
      </c>
      <c r="G73" t="s">
        <v>100</v>
      </c>
      <c r="H73" t="s">
        <v>103</v>
      </c>
      <c r="I73" t="s">
        <v>100</v>
      </c>
      <c r="J73" t="s">
        <v>101</v>
      </c>
      <c r="K73" t="s">
        <v>559</v>
      </c>
      <c r="L73" t="s">
        <v>559</v>
      </c>
      <c r="M73" t="s">
        <v>100</v>
      </c>
      <c r="N73" t="s">
        <v>746</v>
      </c>
      <c r="O73" t="s">
        <v>100</v>
      </c>
      <c r="Q73" t="s">
        <v>746</v>
      </c>
      <c r="R73" t="s">
        <v>119</v>
      </c>
      <c r="S73" t="s">
        <v>130</v>
      </c>
      <c r="T73" t="s">
        <v>120</v>
      </c>
      <c r="U73" t="s">
        <v>101</v>
      </c>
      <c r="V73" t="s">
        <v>121</v>
      </c>
      <c r="W73" t="s">
        <v>122</v>
      </c>
      <c r="X73" t="s">
        <v>123</v>
      </c>
      <c r="Y73">
        <v>1</v>
      </c>
      <c r="Z73" t="s">
        <v>764</v>
      </c>
      <c r="AA73" s="280">
        <v>44789</v>
      </c>
      <c r="AB73" t="s">
        <v>114</v>
      </c>
      <c r="AC73" t="s">
        <v>124</v>
      </c>
      <c r="AD73" s="280">
        <v>45016</v>
      </c>
      <c r="AE73" t="s">
        <v>125</v>
      </c>
      <c r="AF73">
        <v>3</v>
      </c>
      <c r="AG73">
        <v>0</v>
      </c>
      <c r="AH73">
        <v>0</v>
      </c>
      <c r="AI73" t="s">
        <v>126</v>
      </c>
      <c r="AL73">
        <v>0.37808219178082192</v>
      </c>
      <c r="AM73">
        <v>0</v>
      </c>
      <c r="AN73">
        <v>0.37808219178082192</v>
      </c>
      <c r="AO73">
        <v>-0.62191780821917808</v>
      </c>
      <c r="AP73" t="s">
        <v>1051</v>
      </c>
      <c r="AR73" t="s">
        <v>127</v>
      </c>
      <c r="AS73">
        <v>30852.01</v>
      </c>
      <c r="AX73">
        <v>30852.01</v>
      </c>
      <c r="AY73">
        <v>3888.1985205479468</v>
      </c>
      <c r="AZ73">
        <v>0</v>
      </c>
      <c r="BC73">
        <v>-26963.811479452052</v>
      </c>
      <c r="BE73" t="s">
        <v>114</v>
      </c>
      <c r="BH73">
        <v>-10284.003333333338</v>
      </c>
      <c r="BI73">
        <v>-857.00027777777814</v>
      </c>
      <c r="BK73" t="s">
        <v>116</v>
      </c>
      <c r="BL73">
        <v>0</v>
      </c>
      <c r="BM73">
        <v>-37247.814812785393</v>
      </c>
      <c r="BR73">
        <v>0</v>
      </c>
      <c r="BS73">
        <v>-6395.8048127853945</v>
      </c>
      <c r="BT73">
        <v>-26963.811479452052</v>
      </c>
      <c r="BZ73" t="s">
        <v>1018</v>
      </c>
      <c r="CE73">
        <v>0</v>
      </c>
    </row>
    <row r="74" spans="1:83">
      <c r="A74" t="s">
        <v>702</v>
      </c>
      <c r="B74">
        <v>0</v>
      </c>
      <c r="C74" t="s">
        <v>54</v>
      </c>
      <c r="D74" t="s">
        <v>1</v>
      </c>
      <c r="E74" t="s">
        <v>115</v>
      </c>
      <c r="F74" t="s">
        <v>99</v>
      </c>
      <c r="G74" t="s">
        <v>100</v>
      </c>
      <c r="H74" t="s">
        <v>103</v>
      </c>
      <c r="I74" t="s">
        <v>100</v>
      </c>
      <c r="J74" t="s">
        <v>101</v>
      </c>
      <c r="K74" t="s">
        <v>559</v>
      </c>
      <c r="L74" t="s">
        <v>559</v>
      </c>
      <c r="M74" t="s">
        <v>100</v>
      </c>
      <c r="N74" t="s">
        <v>746</v>
      </c>
      <c r="O74" t="s">
        <v>100</v>
      </c>
      <c r="Q74" t="s">
        <v>746</v>
      </c>
      <c r="R74" t="s">
        <v>119</v>
      </c>
      <c r="S74" t="s">
        <v>130</v>
      </c>
      <c r="T74" t="s">
        <v>120</v>
      </c>
      <c r="U74" t="s">
        <v>101</v>
      </c>
      <c r="V74" t="s">
        <v>121</v>
      </c>
      <c r="W74" t="s">
        <v>122</v>
      </c>
      <c r="X74" t="s">
        <v>123</v>
      </c>
      <c r="Y74">
        <v>1</v>
      </c>
      <c r="Z74" t="s">
        <v>764</v>
      </c>
      <c r="AA74" s="280">
        <v>44789</v>
      </c>
      <c r="AB74" t="s">
        <v>114</v>
      </c>
      <c r="AC74" t="s">
        <v>124</v>
      </c>
      <c r="AD74" s="280">
        <v>45016</v>
      </c>
      <c r="AE74" t="s">
        <v>125</v>
      </c>
      <c r="AF74">
        <v>3</v>
      </c>
      <c r="AG74">
        <v>0</v>
      </c>
      <c r="AH74">
        <v>0</v>
      </c>
      <c r="AI74" t="s">
        <v>126</v>
      </c>
      <c r="AL74">
        <v>0.37808219178082192</v>
      </c>
      <c r="AM74">
        <v>0</v>
      </c>
      <c r="AN74">
        <v>0.37808219178082192</v>
      </c>
      <c r="AO74">
        <v>-0.62191780821917808</v>
      </c>
      <c r="AP74">
        <v>0</v>
      </c>
      <c r="AR74" t="s">
        <v>127</v>
      </c>
      <c r="AS74">
        <v>30852.01</v>
      </c>
      <c r="AX74">
        <v>30852.01</v>
      </c>
      <c r="AY74">
        <v>3888.1985205479468</v>
      </c>
      <c r="AZ74">
        <v>0</v>
      </c>
      <c r="BC74">
        <v>-26963.811479452052</v>
      </c>
      <c r="BE74" t="s">
        <v>114</v>
      </c>
      <c r="BH74">
        <v>-10284.003333333338</v>
      </c>
      <c r="BI74">
        <v>-857.00027777777814</v>
      </c>
      <c r="BK74" t="s">
        <v>116</v>
      </c>
      <c r="BL74">
        <v>0</v>
      </c>
      <c r="BM74">
        <v>-37247.814812785393</v>
      </c>
      <c r="BR74">
        <v>0</v>
      </c>
      <c r="BS74">
        <v>-6395.8048127853945</v>
      </c>
      <c r="BT74">
        <v>-26963.811479452052</v>
      </c>
      <c r="BZ74">
        <v>0</v>
      </c>
      <c r="CE74">
        <v>0</v>
      </c>
    </row>
    <row r="75" spans="1:83">
      <c r="A75" t="s">
        <v>701</v>
      </c>
      <c r="B75" t="s">
        <v>927</v>
      </c>
      <c r="C75" t="s">
        <v>54</v>
      </c>
      <c r="D75" t="s">
        <v>1</v>
      </c>
      <c r="E75" t="s">
        <v>115</v>
      </c>
      <c r="F75" t="s">
        <v>99</v>
      </c>
      <c r="G75" t="s">
        <v>100</v>
      </c>
      <c r="H75" t="s">
        <v>103</v>
      </c>
      <c r="I75" t="s">
        <v>100</v>
      </c>
      <c r="J75" t="s">
        <v>101</v>
      </c>
      <c r="K75" t="s">
        <v>559</v>
      </c>
      <c r="L75" t="s">
        <v>559</v>
      </c>
      <c r="M75" t="s">
        <v>100</v>
      </c>
      <c r="N75" t="s">
        <v>746</v>
      </c>
      <c r="O75" t="s">
        <v>100</v>
      </c>
      <c r="Q75" t="s">
        <v>746</v>
      </c>
      <c r="R75" t="s">
        <v>119</v>
      </c>
      <c r="S75" t="s">
        <v>130</v>
      </c>
      <c r="T75" t="s">
        <v>120</v>
      </c>
      <c r="U75" t="s">
        <v>101</v>
      </c>
      <c r="V75" t="s">
        <v>121</v>
      </c>
      <c r="W75" t="s">
        <v>122</v>
      </c>
      <c r="X75" t="s">
        <v>123</v>
      </c>
      <c r="Y75">
        <v>1</v>
      </c>
      <c r="Z75" t="s">
        <v>764</v>
      </c>
      <c r="AA75" s="280">
        <v>44789</v>
      </c>
      <c r="AB75" t="s">
        <v>114</v>
      </c>
      <c r="AC75" t="s">
        <v>124</v>
      </c>
      <c r="AD75" s="280">
        <v>45016</v>
      </c>
      <c r="AE75" t="s">
        <v>125</v>
      </c>
      <c r="AF75">
        <v>3</v>
      </c>
      <c r="AG75">
        <v>0</v>
      </c>
      <c r="AH75">
        <v>0</v>
      </c>
      <c r="AI75" t="s">
        <v>126</v>
      </c>
      <c r="AL75">
        <v>0.37808219178082192</v>
      </c>
      <c r="AM75">
        <v>0</v>
      </c>
      <c r="AN75">
        <v>0.37808219178082192</v>
      </c>
      <c r="AO75">
        <v>-0.62191780821917808</v>
      </c>
      <c r="AP75" t="s">
        <v>1050</v>
      </c>
      <c r="AR75" t="s">
        <v>127</v>
      </c>
      <c r="AS75">
        <v>30852.01</v>
      </c>
      <c r="AX75">
        <v>30852.01</v>
      </c>
      <c r="AY75">
        <v>3888.1985205479468</v>
      </c>
      <c r="AZ75">
        <v>0</v>
      </c>
      <c r="BC75">
        <v>-26963.811479452052</v>
      </c>
      <c r="BE75" t="s">
        <v>114</v>
      </c>
      <c r="BH75">
        <v>-10284.003333333338</v>
      </c>
      <c r="BI75">
        <v>-857.00027777777814</v>
      </c>
      <c r="BK75" t="s">
        <v>116</v>
      </c>
      <c r="BL75">
        <v>0</v>
      </c>
      <c r="BM75">
        <v>-37247.814812785393</v>
      </c>
      <c r="BR75">
        <v>0</v>
      </c>
      <c r="BS75">
        <v>-6395.8048127853945</v>
      </c>
      <c r="BT75">
        <v>-26963.811479452052</v>
      </c>
      <c r="BZ75" t="s">
        <v>1044</v>
      </c>
      <c r="CE75">
        <v>0</v>
      </c>
    </row>
    <row r="76" spans="1:83">
      <c r="A76" t="s">
        <v>700</v>
      </c>
      <c r="B76" t="s">
        <v>876</v>
      </c>
      <c r="C76" t="s">
        <v>54</v>
      </c>
      <c r="D76" t="s">
        <v>1</v>
      </c>
      <c r="E76" t="s">
        <v>115</v>
      </c>
      <c r="F76" t="s">
        <v>99</v>
      </c>
      <c r="G76" t="s">
        <v>100</v>
      </c>
      <c r="H76" t="s">
        <v>103</v>
      </c>
      <c r="I76" t="s">
        <v>100</v>
      </c>
      <c r="J76" t="s">
        <v>101</v>
      </c>
      <c r="K76" t="s">
        <v>559</v>
      </c>
      <c r="L76" t="s">
        <v>559</v>
      </c>
      <c r="M76" t="s">
        <v>100</v>
      </c>
      <c r="N76" t="s">
        <v>746</v>
      </c>
      <c r="O76" t="s">
        <v>100</v>
      </c>
      <c r="Q76" t="s">
        <v>746</v>
      </c>
      <c r="R76" t="s">
        <v>119</v>
      </c>
      <c r="S76" t="s">
        <v>130</v>
      </c>
      <c r="T76" t="s">
        <v>120</v>
      </c>
      <c r="U76" t="s">
        <v>101</v>
      </c>
      <c r="V76" t="s">
        <v>121</v>
      </c>
      <c r="W76" t="s">
        <v>122</v>
      </c>
      <c r="X76" t="s">
        <v>123</v>
      </c>
      <c r="Y76">
        <v>1</v>
      </c>
      <c r="Z76" t="s">
        <v>764</v>
      </c>
      <c r="AA76" s="280">
        <v>44789</v>
      </c>
      <c r="AB76" t="s">
        <v>114</v>
      </c>
      <c r="AC76" t="s">
        <v>124</v>
      </c>
      <c r="AD76" s="280">
        <v>45016</v>
      </c>
      <c r="AE76" t="s">
        <v>125</v>
      </c>
      <c r="AF76">
        <v>3</v>
      </c>
      <c r="AG76">
        <v>0</v>
      </c>
      <c r="AH76">
        <v>0</v>
      </c>
      <c r="AI76" t="s">
        <v>126</v>
      </c>
      <c r="AL76">
        <v>0.37808219178082192</v>
      </c>
      <c r="AM76">
        <v>0</v>
      </c>
      <c r="AN76">
        <v>0.37808219178082192</v>
      </c>
      <c r="AO76">
        <v>-0.62191780821917808</v>
      </c>
      <c r="AP76" t="s">
        <v>1052</v>
      </c>
      <c r="AR76" t="s">
        <v>127</v>
      </c>
      <c r="AS76">
        <v>30852.01</v>
      </c>
      <c r="AX76">
        <v>30852.01</v>
      </c>
      <c r="AY76">
        <v>3888.1985205479468</v>
      </c>
      <c r="AZ76">
        <v>0</v>
      </c>
      <c r="BC76">
        <v>-26963.811479452052</v>
      </c>
      <c r="BE76" t="s">
        <v>114</v>
      </c>
      <c r="BH76">
        <v>-10284.003333333338</v>
      </c>
      <c r="BI76">
        <v>-857.00027777777814</v>
      </c>
      <c r="BK76" t="s">
        <v>116</v>
      </c>
      <c r="BL76">
        <v>0</v>
      </c>
      <c r="BM76">
        <v>-37247.814812785393</v>
      </c>
      <c r="BR76">
        <v>0</v>
      </c>
      <c r="BS76">
        <v>-6395.8048127853945</v>
      </c>
      <c r="BT76">
        <v>-26963.811479452052</v>
      </c>
      <c r="BZ76" t="s">
        <v>942</v>
      </c>
      <c r="CE76">
        <v>0</v>
      </c>
    </row>
    <row r="77" spans="1:83">
      <c r="A77" t="s">
        <v>699</v>
      </c>
      <c r="B77" t="s">
        <v>886</v>
      </c>
      <c r="C77" t="s">
        <v>54</v>
      </c>
      <c r="D77" t="s">
        <v>1</v>
      </c>
      <c r="E77" t="s">
        <v>115</v>
      </c>
      <c r="F77" t="s">
        <v>99</v>
      </c>
      <c r="G77" t="s">
        <v>100</v>
      </c>
      <c r="H77" t="s">
        <v>103</v>
      </c>
      <c r="I77" t="s">
        <v>100</v>
      </c>
      <c r="J77" t="s">
        <v>101</v>
      </c>
      <c r="K77" t="s">
        <v>559</v>
      </c>
      <c r="L77" t="s">
        <v>559</v>
      </c>
      <c r="M77" t="s">
        <v>100</v>
      </c>
      <c r="N77" t="s">
        <v>746</v>
      </c>
      <c r="O77" t="s">
        <v>100</v>
      </c>
      <c r="Q77" t="s">
        <v>746</v>
      </c>
      <c r="R77" t="s">
        <v>119</v>
      </c>
      <c r="S77" t="s">
        <v>130</v>
      </c>
      <c r="T77" t="s">
        <v>120</v>
      </c>
      <c r="U77" t="s">
        <v>101</v>
      </c>
      <c r="V77" t="s">
        <v>121</v>
      </c>
      <c r="W77" t="s">
        <v>122</v>
      </c>
      <c r="X77" t="s">
        <v>123</v>
      </c>
      <c r="Y77">
        <v>1</v>
      </c>
      <c r="Z77" t="s">
        <v>764</v>
      </c>
      <c r="AA77" s="280">
        <v>44789</v>
      </c>
      <c r="AB77" t="s">
        <v>114</v>
      </c>
      <c r="AC77" t="s">
        <v>124</v>
      </c>
      <c r="AD77" s="280">
        <v>45016</v>
      </c>
      <c r="AE77" t="s">
        <v>125</v>
      </c>
      <c r="AF77">
        <v>3</v>
      </c>
      <c r="AG77">
        <v>0</v>
      </c>
      <c r="AH77">
        <v>0</v>
      </c>
      <c r="AI77" t="s">
        <v>126</v>
      </c>
      <c r="AL77">
        <v>0.37808219178082192</v>
      </c>
      <c r="AM77">
        <v>0</v>
      </c>
      <c r="AN77">
        <v>0.37808219178082192</v>
      </c>
      <c r="AO77">
        <v>-0.62191780821917808</v>
      </c>
      <c r="AP77" t="s">
        <v>1050</v>
      </c>
      <c r="AR77" t="s">
        <v>127</v>
      </c>
      <c r="AS77">
        <v>30852.01</v>
      </c>
      <c r="AX77">
        <v>30852.01</v>
      </c>
      <c r="AY77">
        <v>3888.1985205479468</v>
      </c>
      <c r="AZ77">
        <v>0</v>
      </c>
      <c r="BC77">
        <v>-26963.811479452052</v>
      </c>
      <c r="BE77" t="s">
        <v>114</v>
      </c>
      <c r="BH77">
        <v>-10284.003333333338</v>
      </c>
      <c r="BI77">
        <v>-857.00027777777814</v>
      </c>
      <c r="BK77" t="s">
        <v>116</v>
      </c>
      <c r="BL77">
        <v>0</v>
      </c>
      <c r="BM77">
        <v>-37247.814812785393</v>
      </c>
      <c r="BR77">
        <v>0</v>
      </c>
      <c r="BS77">
        <v>-6395.8048127853945</v>
      </c>
      <c r="BT77">
        <v>-26963.811479452052</v>
      </c>
      <c r="BZ77" t="s">
        <v>1038</v>
      </c>
      <c r="CE77">
        <v>0</v>
      </c>
    </row>
    <row r="78" spans="1:83">
      <c r="A78" t="s">
        <v>698</v>
      </c>
      <c r="B78">
        <v>0</v>
      </c>
      <c r="C78" t="s">
        <v>54</v>
      </c>
      <c r="D78" t="s">
        <v>1</v>
      </c>
      <c r="E78" t="s">
        <v>115</v>
      </c>
      <c r="F78" t="s">
        <v>99</v>
      </c>
      <c r="G78" t="s">
        <v>100</v>
      </c>
      <c r="H78" t="s">
        <v>103</v>
      </c>
      <c r="I78" t="s">
        <v>100</v>
      </c>
      <c r="J78" t="s">
        <v>101</v>
      </c>
      <c r="K78" t="s">
        <v>559</v>
      </c>
      <c r="L78" t="s">
        <v>559</v>
      </c>
      <c r="M78" t="s">
        <v>100</v>
      </c>
      <c r="N78" t="s">
        <v>746</v>
      </c>
      <c r="O78" t="s">
        <v>100</v>
      </c>
      <c r="Q78" t="s">
        <v>746</v>
      </c>
      <c r="R78" t="s">
        <v>119</v>
      </c>
      <c r="S78" t="s">
        <v>130</v>
      </c>
      <c r="T78" t="s">
        <v>120</v>
      </c>
      <c r="U78" t="s">
        <v>101</v>
      </c>
      <c r="V78" t="s">
        <v>121</v>
      </c>
      <c r="W78" t="s">
        <v>122</v>
      </c>
      <c r="X78" t="s">
        <v>123</v>
      </c>
      <c r="Y78">
        <v>1</v>
      </c>
      <c r="Z78" t="s">
        <v>764</v>
      </c>
      <c r="AA78" s="280">
        <v>44789</v>
      </c>
      <c r="AB78" t="s">
        <v>114</v>
      </c>
      <c r="AC78" t="s">
        <v>124</v>
      </c>
      <c r="AD78" s="280">
        <v>45016</v>
      </c>
      <c r="AE78" t="s">
        <v>125</v>
      </c>
      <c r="AF78">
        <v>3</v>
      </c>
      <c r="AG78">
        <v>0</v>
      </c>
      <c r="AH78">
        <v>0</v>
      </c>
      <c r="AI78" t="s">
        <v>126</v>
      </c>
      <c r="AL78">
        <v>0.37808219178082192</v>
      </c>
      <c r="AM78">
        <v>0</v>
      </c>
      <c r="AN78">
        <v>0.37808219178082192</v>
      </c>
      <c r="AO78">
        <v>-0.62191780821917808</v>
      </c>
      <c r="AP78">
        <v>0</v>
      </c>
      <c r="AR78" t="s">
        <v>127</v>
      </c>
      <c r="AS78">
        <v>30852.01</v>
      </c>
      <c r="AX78">
        <v>30852.01</v>
      </c>
      <c r="AY78">
        <v>3888.1985205479468</v>
      </c>
      <c r="AZ78">
        <v>0</v>
      </c>
      <c r="BC78">
        <v>-26963.811479452052</v>
      </c>
      <c r="BE78" t="s">
        <v>114</v>
      </c>
      <c r="BH78">
        <v>-10284.003333333338</v>
      </c>
      <c r="BI78">
        <v>-857.00027777777814</v>
      </c>
      <c r="BK78" t="s">
        <v>116</v>
      </c>
      <c r="BL78">
        <v>0</v>
      </c>
      <c r="BM78">
        <v>-37247.814812785393</v>
      </c>
      <c r="BR78">
        <v>0</v>
      </c>
      <c r="BS78">
        <v>-6395.8048127853945</v>
      </c>
      <c r="BT78">
        <v>-26963.811479452052</v>
      </c>
      <c r="BZ78">
        <v>0</v>
      </c>
      <c r="CE78">
        <v>0</v>
      </c>
    </row>
    <row r="79" spans="1:83">
      <c r="A79" t="s">
        <v>697</v>
      </c>
      <c r="B79">
        <v>0</v>
      </c>
      <c r="C79" t="s">
        <v>54</v>
      </c>
      <c r="D79" t="s">
        <v>1</v>
      </c>
      <c r="E79" t="s">
        <v>115</v>
      </c>
      <c r="F79" t="s">
        <v>99</v>
      </c>
      <c r="G79" t="s">
        <v>100</v>
      </c>
      <c r="H79" t="s">
        <v>103</v>
      </c>
      <c r="I79" t="s">
        <v>100</v>
      </c>
      <c r="J79" t="s">
        <v>101</v>
      </c>
      <c r="K79" t="s">
        <v>559</v>
      </c>
      <c r="L79" t="s">
        <v>559</v>
      </c>
      <c r="M79" t="s">
        <v>100</v>
      </c>
      <c r="N79" t="s">
        <v>746</v>
      </c>
      <c r="O79" t="s">
        <v>100</v>
      </c>
      <c r="Q79" t="s">
        <v>746</v>
      </c>
      <c r="R79" t="s">
        <v>119</v>
      </c>
      <c r="S79" t="s">
        <v>130</v>
      </c>
      <c r="T79" t="s">
        <v>120</v>
      </c>
      <c r="U79" t="s">
        <v>101</v>
      </c>
      <c r="V79" t="s">
        <v>121</v>
      </c>
      <c r="W79" t="s">
        <v>122</v>
      </c>
      <c r="X79" t="s">
        <v>123</v>
      </c>
      <c r="Y79">
        <v>1</v>
      </c>
      <c r="Z79" t="s">
        <v>764</v>
      </c>
      <c r="AA79" s="280">
        <v>44789</v>
      </c>
      <c r="AB79" t="s">
        <v>114</v>
      </c>
      <c r="AC79" t="s">
        <v>124</v>
      </c>
      <c r="AD79" s="280">
        <v>45016</v>
      </c>
      <c r="AE79" t="s">
        <v>125</v>
      </c>
      <c r="AF79">
        <v>3</v>
      </c>
      <c r="AG79">
        <v>0</v>
      </c>
      <c r="AH79">
        <v>0</v>
      </c>
      <c r="AI79" t="s">
        <v>126</v>
      </c>
      <c r="AL79">
        <v>0.37808219178082192</v>
      </c>
      <c r="AM79">
        <v>0</v>
      </c>
      <c r="AN79">
        <v>0.37808219178082192</v>
      </c>
      <c r="AO79">
        <v>-0.62191780821917808</v>
      </c>
      <c r="AP79">
        <v>0</v>
      </c>
      <c r="AR79" t="s">
        <v>127</v>
      </c>
      <c r="AS79">
        <v>30852.01</v>
      </c>
      <c r="AX79">
        <v>30852.01</v>
      </c>
      <c r="AY79">
        <v>3888.1985205479468</v>
      </c>
      <c r="AZ79">
        <v>0</v>
      </c>
      <c r="BC79">
        <v>-26963.811479452052</v>
      </c>
      <c r="BE79" t="s">
        <v>114</v>
      </c>
      <c r="BH79">
        <v>-10284.003333333338</v>
      </c>
      <c r="BI79">
        <v>-857.00027777777814</v>
      </c>
      <c r="BK79" t="s">
        <v>116</v>
      </c>
      <c r="BL79">
        <v>0</v>
      </c>
      <c r="BM79">
        <v>-37247.814812785393</v>
      </c>
      <c r="BR79">
        <v>0</v>
      </c>
      <c r="BS79">
        <v>-6395.8048127853945</v>
      </c>
      <c r="BT79">
        <v>-26963.811479452052</v>
      </c>
      <c r="BZ79">
        <v>0</v>
      </c>
      <c r="CE79">
        <v>0</v>
      </c>
    </row>
    <row r="80" spans="1:83">
      <c r="A80" t="s">
        <v>696</v>
      </c>
      <c r="B80" t="s">
        <v>900</v>
      </c>
      <c r="C80" t="s">
        <v>54</v>
      </c>
      <c r="D80" t="s">
        <v>1</v>
      </c>
      <c r="E80" t="s">
        <v>115</v>
      </c>
      <c r="F80" t="s">
        <v>99</v>
      </c>
      <c r="G80" t="s">
        <v>100</v>
      </c>
      <c r="H80" t="s">
        <v>103</v>
      </c>
      <c r="I80" t="s">
        <v>100</v>
      </c>
      <c r="J80" t="s">
        <v>101</v>
      </c>
      <c r="K80" t="s">
        <v>559</v>
      </c>
      <c r="L80" t="s">
        <v>559</v>
      </c>
      <c r="M80" t="s">
        <v>100</v>
      </c>
      <c r="N80" t="s">
        <v>746</v>
      </c>
      <c r="O80" t="s">
        <v>100</v>
      </c>
      <c r="Q80" t="s">
        <v>746</v>
      </c>
      <c r="R80" t="s">
        <v>119</v>
      </c>
      <c r="S80" t="s">
        <v>130</v>
      </c>
      <c r="T80" t="s">
        <v>120</v>
      </c>
      <c r="U80" t="s">
        <v>101</v>
      </c>
      <c r="V80" t="s">
        <v>121</v>
      </c>
      <c r="W80" t="s">
        <v>122</v>
      </c>
      <c r="X80" t="s">
        <v>123</v>
      </c>
      <c r="Y80">
        <v>1</v>
      </c>
      <c r="Z80" t="s">
        <v>764</v>
      </c>
      <c r="AA80" s="280">
        <v>44789</v>
      </c>
      <c r="AB80" t="s">
        <v>114</v>
      </c>
      <c r="AC80" t="s">
        <v>124</v>
      </c>
      <c r="AD80" s="280">
        <v>45016</v>
      </c>
      <c r="AE80" t="s">
        <v>125</v>
      </c>
      <c r="AF80">
        <v>3</v>
      </c>
      <c r="AG80">
        <v>0</v>
      </c>
      <c r="AH80">
        <v>0</v>
      </c>
      <c r="AI80" t="s">
        <v>126</v>
      </c>
      <c r="AL80">
        <v>0.37808219178082192</v>
      </c>
      <c r="AM80">
        <v>0</v>
      </c>
      <c r="AN80">
        <v>0.37808219178082192</v>
      </c>
      <c r="AO80">
        <v>-0.62191780821917808</v>
      </c>
      <c r="AP80" t="s">
        <v>1050</v>
      </c>
      <c r="AR80" t="s">
        <v>127</v>
      </c>
      <c r="AS80">
        <v>30852.01</v>
      </c>
      <c r="AX80">
        <v>30852.01</v>
      </c>
      <c r="AY80">
        <v>3888.1985205479468</v>
      </c>
      <c r="AZ80">
        <v>0</v>
      </c>
      <c r="BC80">
        <v>-26963.811479452052</v>
      </c>
      <c r="BE80" t="s">
        <v>114</v>
      </c>
      <c r="BH80">
        <v>-10284.003333333338</v>
      </c>
      <c r="BI80">
        <v>-857.00027777777814</v>
      </c>
      <c r="BK80" t="s">
        <v>116</v>
      </c>
      <c r="BL80">
        <v>0</v>
      </c>
      <c r="BM80">
        <v>-37247.814812785393</v>
      </c>
      <c r="BR80">
        <v>0</v>
      </c>
      <c r="BS80">
        <v>-6395.8048127853945</v>
      </c>
      <c r="BT80">
        <v>-26963.811479452052</v>
      </c>
      <c r="BZ80" t="s">
        <v>988</v>
      </c>
      <c r="CE80">
        <v>0</v>
      </c>
    </row>
    <row r="81" spans="1:83">
      <c r="A81" t="s">
        <v>695</v>
      </c>
      <c r="B81" t="s">
        <v>877</v>
      </c>
      <c r="C81" t="s">
        <v>54</v>
      </c>
      <c r="D81" t="s">
        <v>1</v>
      </c>
      <c r="E81" t="s">
        <v>115</v>
      </c>
      <c r="F81" t="s">
        <v>99</v>
      </c>
      <c r="G81" t="s">
        <v>100</v>
      </c>
      <c r="H81" t="s">
        <v>103</v>
      </c>
      <c r="I81" t="s">
        <v>100</v>
      </c>
      <c r="J81" t="s">
        <v>101</v>
      </c>
      <c r="K81" t="s">
        <v>559</v>
      </c>
      <c r="L81" t="s">
        <v>559</v>
      </c>
      <c r="M81" t="s">
        <v>100</v>
      </c>
      <c r="N81" t="s">
        <v>746</v>
      </c>
      <c r="O81" t="s">
        <v>100</v>
      </c>
      <c r="Q81" t="s">
        <v>746</v>
      </c>
      <c r="R81" t="s">
        <v>119</v>
      </c>
      <c r="S81" t="s">
        <v>130</v>
      </c>
      <c r="T81" t="s">
        <v>120</v>
      </c>
      <c r="U81" t="s">
        <v>101</v>
      </c>
      <c r="V81" t="s">
        <v>121</v>
      </c>
      <c r="W81" t="s">
        <v>122</v>
      </c>
      <c r="X81" t="s">
        <v>123</v>
      </c>
      <c r="Y81">
        <v>1</v>
      </c>
      <c r="Z81" t="s">
        <v>764</v>
      </c>
      <c r="AA81" s="280">
        <v>44789</v>
      </c>
      <c r="AB81" t="s">
        <v>114</v>
      </c>
      <c r="AC81" t="s">
        <v>124</v>
      </c>
      <c r="AD81" s="280">
        <v>45016</v>
      </c>
      <c r="AE81" t="s">
        <v>125</v>
      </c>
      <c r="AF81">
        <v>3</v>
      </c>
      <c r="AG81">
        <v>0</v>
      </c>
      <c r="AH81">
        <v>0</v>
      </c>
      <c r="AI81" t="s">
        <v>126</v>
      </c>
      <c r="AL81">
        <v>0.37808219178082192</v>
      </c>
      <c r="AM81">
        <v>0</v>
      </c>
      <c r="AN81">
        <v>0.37808219178082192</v>
      </c>
      <c r="AO81">
        <v>-0.62191780821917808</v>
      </c>
      <c r="AP81" t="s">
        <v>1051</v>
      </c>
      <c r="AR81" t="s">
        <v>127</v>
      </c>
      <c r="AS81">
        <v>30852.01</v>
      </c>
      <c r="AX81">
        <v>30852.01</v>
      </c>
      <c r="AY81">
        <v>3888.1985205479468</v>
      </c>
      <c r="AZ81">
        <v>0</v>
      </c>
      <c r="BC81">
        <v>-26963.811479452052</v>
      </c>
      <c r="BE81" t="s">
        <v>114</v>
      </c>
      <c r="BH81">
        <v>-10284.003333333338</v>
      </c>
      <c r="BI81">
        <v>-857.00027777777814</v>
      </c>
      <c r="BK81" t="s">
        <v>116</v>
      </c>
      <c r="BL81">
        <v>0</v>
      </c>
      <c r="BM81">
        <v>-37247.814812785393</v>
      </c>
      <c r="BR81">
        <v>0</v>
      </c>
      <c r="BS81">
        <v>-6395.8048127853945</v>
      </c>
      <c r="BT81">
        <v>-26963.811479452052</v>
      </c>
      <c r="BZ81" t="s">
        <v>1016</v>
      </c>
      <c r="CE81">
        <v>0</v>
      </c>
    </row>
    <row r="82" spans="1:83">
      <c r="A82" t="s">
        <v>694</v>
      </c>
      <c r="B82" t="s">
        <v>859</v>
      </c>
      <c r="C82" t="s">
        <v>54</v>
      </c>
      <c r="D82" t="s">
        <v>1</v>
      </c>
      <c r="E82" t="s">
        <v>115</v>
      </c>
      <c r="F82" t="s">
        <v>99</v>
      </c>
      <c r="G82" t="s">
        <v>100</v>
      </c>
      <c r="H82" t="s">
        <v>103</v>
      </c>
      <c r="I82" t="s">
        <v>100</v>
      </c>
      <c r="J82" t="s">
        <v>101</v>
      </c>
      <c r="K82" t="s">
        <v>559</v>
      </c>
      <c r="L82" t="s">
        <v>559</v>
      </c>
      <c r="M82" t="s">
        <v>100</v>
      </c>
      <c r="N82" t="s">
        <v>746</v>
      </c>
      <c r="O82" t="s">
        <v>100</v>
      </c>
      <c r="Q82" t="s">
        <v>746</v>
      </c>
      <c r="R82" t="s">
        <v>119</v>
      </c>
      <c r="S82" t="s">
        <v>130</v>
      </c>
      <c r="T82" t="s">
        <v>120</v>
      </c>
      <c r="U82" t="s">
        <v>101</v>
      </c>
      <c r="V82" t="s">
        <v>121</v>
      </c>
      <c r="W82" t="s">
        <v>122</v>
      </c>
      <c r="X82" t="s">
        <v>123</v>
      </c>
      <c r="Y82">
        <v>1</v>
      </c>
      <c r="Z82" t="s">
        <v>764</v>
      </c>
      <c r="AA82" s="280">
        <v>44789</v>
      </c>
      <c r="AB82" t="s">
        <v>114</v>
      </c>
      <c r="AC82" t="s">
        <v>124</v>
      </c>
      <c r="AD82" s="280">
        <v>45016</v>
      </c>
      <c r="AE82" t="s">
        <v>125</v>
      </c>
      <c r="AF82">
        <v>3</v>
      </c>
      <c r="AG82">
        <v>0</v>
      </c>
      <c r="AH82">
        <v>0</v>
      </c>
      <c r="AI82" t="s">
        <v>126</v>
      </c>
      <c r="AL82">
        <v>0.37808219178082192</v>
      </c>
      <c r="AM82">
        <v>0</v>
      </c>
      <c r="AN82">
        <v>0.37808219178082192</v>
      </c>
      <c r="AO82">
        <v>-0.62191780821917808</v>
      </c>
      <c r="AP82" t="s">
        <v>1051</v>
      </c>
      <c r="AR82" t="s">
        <v>127</v>
      </c>
      <c r="AS82">
        <v>30852.01</v>
      </c>
      <c r="AX82">
        <v>30852.01</v>
      </c>
      <c r="AY82">
        <v>3888.1985205479468</v>
      </c>
      <c r="AZ82">
        <v>0</v>
      </c>
      <c r="BC82">
        <v>-26963.811479452052</v>
      </c>
      <c r="BE82" t="s">
        <v>114</v>
      </c>
      <c r="BH82">
        <v>-10284.003333333338</v>
      </c>
      <c r="BI82">
        <v>-857.00027777777814</v>
      </c>
      <c r="BK82" t="s">
        <v>116</v>
      </c>
      <c r="BL82">
        <v>0</v>
      </c>
      <c r="BM82">
        <v>-37247.814812785393</v>
      </c>
      <c r="BR82">
        <v>0</v>
      </c>
      <c r="BS82">
        <v>-6395.8048127853945</v>
      </c>
      <c r="BT82">
        <v>-26963.811479452052</v>
      </c>
      <c r="BZ82" t="s">
        <v>1043</v>
      </c>
      <c r="CE82">
        <v>0</v>
      </c>
    </row>
    <row r="83" spans="1:83">
      <c r="A83" t="s">
        <v>693</v>
      </c>
      <c r="B83" t="s">
        <v>886</v>
      </c>
      <c r="C83" t="s">
        <v>54</v>
      </c>
      <c r="D83" t="s">
        <v>1</v>
      </c>
      <c r="E83" t="s">
        <v>115</v>
      </c>
      <c r="F83" t="s">
        <v>99</v>
      </c>
      <c r="G83" t="s">
        <v>100</v>
      </c>
      <c r="H83" t="s">
        <v>103</v>
      </c>
      <c r="I83" t="s">
        <v>100</v>
      </c>
      <c r="J83" t="s">
        <v>101</v>
      </c>
      <c r="K83" t="s">
        <v>559</v>
      </c>
      <c r="L83" t="s">
        <v>559</v>
      </c>
      <c r="M83" t="s">
        <v>100</v>
      </c>
      <c r="N83" t="s">
        <v>746</v>
      </c>
      <c r="O83" t="s">
        <v>100</v>
      </c>
      <c r="Q83" t="s">
        <v>746</v>
      </c>
      <c r="R83" t="s">
        <v>119</v>
      </c>
      <c r="S83" t="s">
        <v>130</v>
      </c>
      <c r="T83" t="s">
        <v>120</v>
      </c>
      <c r="U83" t="s">
        <v>101</v>
      </c>
      <c r="V83" t="s">
        <v>121</v>
      </c>
      <c r="W83" t="s">
        <v>122</v>
      </c>
      <c r="X83" t="s">
        <v>123</v>
      </c>
      <c r="Y83">
        <v>1</v>
      </c>
      <c r="Z83" t="s">
        <v>764</v>
      </c>
      <c r="AA83" s="280">
        <v>44789</v>
      </c>
      <c r="AB83" t="s">
        <v>114</v>
      </c>
      <c r="AC83" t="s">
        <v>124</v>
      </c>
      <c r="AD83" s="280">
        <v>45016</v>
      </c>
      <c r="AE83" t="s">
        <v>125</v>
      </c>
      <c r="AF83">
        <v>3</v>
      </c>
      <c r="AG83">
        <v>0</v>
      </c>
      <c r="AH83">
        <v>0</v>
      </c>
      <c r="AI83" t="s">
        <v>126</v>
      </c>
      <c r="AL83">
        <v>0.37808219178082192</v>
      </c>
      <c r="AM83">
        <v>0</v>
      </c>
      <c r="AN83">
        <v>0.37808219178082192</v>
      </c>
      <c r="AO83">
        <v>-0.62191780821917808</v>
      </c>
      <c r="AP83" t="s">
        <v>1050</v>
      </c>
      <c r="AR83" t="s">
        <v>127</v>
      </c>
      <c r="AS83">
        <v>30852.01</v>
      </c>
      <c r="AX83">
        <v>30852.01</v>
      </c>
      <c r="AY83">
        <v>3888.1985205479468</v>
      </c>
      <c r="AZ83">
        <v>0</v>
      </c>
      <c r="BC83">
        <v>-26963.811479452052</v>
      </c>
      <c r="BE83" t="s">
        <v>114</v>
      </c>
      <c r="BH83">
        <v>-10284.003333333338</v>
      </c>
      <c r="BI83">
        <v>-857.00027777777814</v>
      </c>
      <c r="BK83" t="s">
        <v>116</v>
      </c>
      <c r="BL83">
        <v>0</v>
      </c>
      <c r="BM83">
        <v>-37247.814812785393</v>
      </c>
      <c r="BR83">
        <v>0</v>
      </c>
      <c r="BS83">
        <v>-6395.8048127853945</v>
      </c>
      <c r="BT83">
        <v>-26963.811479452052</v>
      </c>
      <c r="BZ83" t="s">
        <v>998</v>
      </c>
      <c r="CE83">
        <v>0</v>
      </c>
    </row>
    <row r="84" spans="1:83">
      <c r="A84" t="s">
        <v>692</v>
      </c>
      <c r="B84" t="s">
        <v>918</v>
      </c>
      <c r="C84" t="s">
        <v>54</v>
      </c>
      <c r="D84" t="s">
        <v>1</v>
      </c>
      <c r="E84" t="s">
        <v>115</v>
      </c>
      <c r="F84" t="s">
        <v>99</v>
      </c>
      <c r="G84" t="s">
        <v>100</v>
      </c>
      <c r="H84" t="s">
        <v>103</v>
      </c>
      <c r="I84" t="s">
        <v>100</v>
      </c>
      <c r="J84" t="s">
        <v>101</v>
      </c>
      <c r="K84" t="s">
        <v>559</v>
      </c>
      <c r="L84" t="s">
        <v>559</v>
      </c>
      <c r="M84" t="s">
        <v>100</v>
      </c>
      <c r="N84" t="s">
        <v>746</v>
      </c>
      <c r="O84" t="s">
        <v>100</v>
      </c>
      <c r="Q84" t="s">
        <v>746</v>
      </c>
      <c r="R84" t="s">
        <v>119</v>
      </c>
      <c r="S84" t="s">
        <v>130</v>
      </c>
      <c r="T84" t="s">
        <v>120</v>
      </c>
      <c r="U84" t="s">
        <v>101</v>
      </c>
      <c r="V84" t="s">
        <v>121</v>
      </c>
      <c r="W84" t="s">
        <v>122</v>
      </c>
      <c r="X84" t="s">
        <v>123</v>
      </c>
      <c r="Y84">
        <v>1</v>
      </c>
      <c r="Z84" t="s">
        <v>764</v>
      </c>
      <c r="AA84" s="280">
        <v>44789</v>
      </c>
      <c r="AB84" t="s">
        <v>114</v>
      </c>
      <c r="AC84" t="s">
        <v>124</v>
      </c>
      <c r="AD84" s="280">
        <v>45016</v>
      </c>
      <c r="AE84" t="s">
        <v>125</v>
      </c>
      <c r="AF84">
        <v>3</v>
      </c>
      <c r="AG84">
        <v>0</v>
      </c>
      <c r="AH84">
        <v>0</v>
      </c>
      <c r="AI84" t="s">
        <v>126</v>
      </c>
      <c r="AL84">
        <v>0.37808219178082192</v>
      </c>
      <c r="AM84">
        <v>0</v>
      </c>
      <c r="AN84">
        <v>0.37808219178082192</v>
      </c>
      <c r="AO84">
        <v>-0.62191780821917808</v>
      </c>
      <c r="AP84" t="s">
        <v>1051</v>
      </c>
      <c r="AR84" t="s">
        <v>127</v>
      </c>
      <c r="AS84">
        <v>30852.01</v>
      </c>
      <c r="AX84">
        <v>30852.01</v>
      </c>
      <c r="AY84">
        <v>3888.1985205479468</v>
      </c>
      <c r="AZ84">
        <v>0</v>
      </c>
      <c r="BC84">
        <v>-26963.811479452052</v>
      </c>
      <c r="BE84" t="s">
        <v>114</v>
      </c>
      <c r="BH84">
        <v>-10284.003333333338</v>
      </c>
      <c r="BI84">
        <v>-857.00027777777814</v>
      </c>
      <c r="BK84" t="s">
        <v>116</v>
      </c>
      <c r="BL84">
        <v>0</v>
      </c>
      <c r="BM84">
        <v>-37247.814812785393</v>
      </c>
      <c r="BR84">
        <v>0</v>
      </c>
      <c r="BS84">
        <v>-6395.8048127853945</v>
      </c>
      <c r="BT84">
        <v>-26963.811479452052</v>
      </c>
      <c r="BZ84" t="s">
        <v>1023</v>
      </c>
      <c r="CE84">
        <v>0</v>
      </c>
    </row>
    <row r="85" spans="1:83">
      <c r="A85">
        <v>1529</v>
      </c>
      <c r="B85" t="s">
        <v>869</v>
      </c>
      <c r="C85" t="s">
        <v>54</v>
      </c>
      <c r="D85" t="s">
        <v>1</v>
      </c>
      <c r="E85" t="s">
        <v>115</v>
      </c>
      <c r="F85" t="s">
        <v>99</v>
      </c>
      <c r="G85" t="s">
        <v>100</v>
      </c>
      <c r="H85" t="s">
        <v>103</v>
      </c>
      <c r="I85" t="s">
        <v>100</v>
      </c>
      <c r="J85" t="s">
        <v>101</v>
      </c>
      <c r="K85" t="s">
        <v>559</v>
      </c>
      <c r="L85" t="s">
        <v>559</v>
      </c>
      <c r="M85" t="s">
        <v>100</v>
      </c>
      <c r="N85" t="s">
        <v>745</v>
      </c>
      <c r="O85" t="s">
        <v>100</v>
      </c>
      <c r="Q85" t="s">
        <v>745</v>
      </c>
      <c r="R85" t="s">
        <v>119</v>
      </c>
      <c r="S85" t="s">
        <v>130</v>
      </c>
      <c r="T85" t="s">
        <v>120</v>
      </c>
      <c r="U85" t="s">
        <v>101</v>
      </c>
      <c r="V85" t="s">
        <v>121</v>
      </c>
      <c r="W85" t="s">
        <v>122</v>
      </c>
      <c r="X85" t="s">
        <v>123</v>
      </c>
      <c r="Y85">
        <v>1</v>
      </c>
      <c r="Z85" t="s">
        <v>762</v>
      </c>
      <c r="AA85" s="280">
        <v>44573</v>
      </c>
      <c r="AB85" t="s">
        <v>114</v>
      </c>
      <c r="AC85" t="s">
        <v>124</v>
      </c>
      <c r="AD85" s="280">
        <v>44651</v>
      </c>
      <c r="AE85" t="s">
        <v>125</v>
      </c>
      <c r="AF85">
        <v>3</v>
      </c>
      <c r="AG85">
        <v>0</v>
      </c>
      <c r="AH85">
        <v>0</v>
      </c>
      <c r="AI85" t="s">
        <v>126</v>
      </c>
      <c r="AL85">
        <v>1.536986301369863</v>
      </c>
      <c r="AN85">
        <v>1.536986301369863</v>
      </c>
      <c r="AO85">
        <v>0.53698630136986303</v>
      </c>
      <c r="AP85" t="s">
        <v>1052</v>
      </c>
      <c r="AR85" t="s">
        <v>127</v>
      </c>
      <c r="AS85">
        <v>30630.25</v>
      </c>
      <c r="AU85">
        <v>0</v>
      </c>
      <c r="AV85">
        <v>0</v>
      </c>
      <c r="AW85">
        <v>0</v>
      </c>
      <c r="AX85">
        <v>30630.25</v>
      </c>
      <c r="AY85">
        <v>7489.3800376549443</v>
      </c>
      <c r="AZ85">
        <v>0</v>
      </c>
      <c r="BC85">
        <v>-23140.869962345056</v>
      </c>
      <c r="BE85" t="s">
        <v>114</v>
      </c>
      <c r="BH85">
        <v>-4872.7695432157834</v>
      </c>
      <c r="BI85">
        <v>-406.0641286013153</v>
      </c>
      <c r="BK85" t="s">
        <v>116</v>
      </c>
      <c r="BL85">
        <v>0</v>
      </c>
      <c r="BM85">
        <v>-28013.639505560837</v>
      </c>
      <c r="BR85">
        <v>0</v>
      </c>
      <c r="BS85">
        <v>2616.6104944391627</v>
      </c>
      <c r="BW85" t="s">
        <v>167</v>
      </c>
      <c r="BX85" t="s">
        <v>168</v>
      </c>
      <c r="BZ85" t="s">
        <v>1034</v>
      </c>
    </row>
    <row r="86" spans="1:83">
      <c r="A86">
        <v>1553</v>
      </c>
      <c r="B86" t="s">
        <v>868</v>
      </c>
      <c r="C86" t="s">
        <v>54</v>
      </c>
      <c r="D86" t="s">
        <v>1</v>
      </c>
      <c r="E86" t="s">
        <v>115</v>
      </c>
      <c r="F86" t="s">
        <v>99</v>
      </c>
      <c r="G86" t="s">
        <v>100</v>
      </c>
      <c r="H86" t="s">
        <v>103</v>
      </c>
      <c r="I86" t="s">
        <v>100</v>
      </c>
      <c r="J86" t="s">
        <v>101</v>
      </c>
      <c r="K86" t="s">
        <v>559</v>
      </c>
      <c r="L86" t="s">
        <v>559</v>
      </c>
      <c r="M86" t="s">
        <v>100</v>
      </c>
      <c r="N86" t="s">
        <v>744</v>
      </c>
      <c r="O86" t="s">
        <v>100</v>
      </c>
      <c r="Q86" t="s">
        <v>744</v>
      </c>
      <c r="R86" t="s">
        <v>119</v>
      </c>
      <c r="S86" t="s">
        <v>130</v>
      </c>
      <c r="T86" t="s">
        <v>120</v>
      </c>
      <c r="U86" t="s">
        <v>101</v>
      </c>
      <c r="V86" t="s">
        <v>121</v>
      </c>
      <c r="W86" t="s">
        <v>122</v>
      </c>
      <c r="X86" t="s">
        <v>123</v>
      </c>
      <c r="Y86">
        <v>1</v>
      </c>
      <c r="Z86" t="s">
        <v>763</v>
      </c>
      <c r="AA86" s="280">
        <v>44624</v>
      </c>
      <c r="AB86" t="s">
        <v>114</v>
      </c>
      <c r="AC86" t="s">
        <v>124</v>
      </c>
      <c r="AD86" s="280">
        <v>44651</v>
      </c>
      <c r="AE86" t="s">
        <v>125</v>
      </c>
      <c r="AF86">
        <v>3</v>
      </c>
      <c r="AG86">
        <v>0</v>
      </c>
      <c r="AH86">
        <v>0</v>
      </c>
      <c r="AI86" t="s">
        <v>126</v>
      </c>
      <c r="AL86">
        <v>1.6767123287671231</v>
      </c>
      <c r="AN86">
        <v>1.6767123287671231</v>
      </c>
      <c r="AO86">
        <v>0.67671232876712306</v>
      </c>
      <c r="AP86" t="s">
        <v>1050</v>
      </c>
      <c r="AR86" t="s">
        <v>127</v>
      </c>
      <c r="AS86">
        <v>41302.379999999997</v>
      </c>
      <c r="AU86">
        <v>0</v>
      </c>
      <c r="AV86">
        <v>0</v>
      </c>
      <c r="AW86">
        <v>0</v>
      </c>
      <c r="AX86">
        <v>41302.379999999997</v>
      </c>
      <c r="AY86">
        <v>11507.685288763874</v>
      </c>
      <c r="AZ86">
        <v>0</v>
      </c>
      <c r="BC86">
        <v>-29794.694711236123</v>
      </c>
      <c r="BE86" t="s">
        <v>114</v>
      </c>
      <c r="BH86">
        <v>-6863.2436771222465</v>
      </c>
      <c r="BI86">
        <v>-571.93697309352058</v>
      </c>
      <c r="BK86" t="s">
        <v>116</v>
      </c>
      <c r="BL86">
        <v>0</v>
      </c>
      <c r="BM86">
        <v>-36657.938388358372</v>
      </c>
      <c r="BR86">
        <v>0</v>
      </c>
      <c r="BS86">
        <v>4644.4416116416251</v>
      </c>
      <c r="BW86" t="s">
        <v>167</v>
      </c>
      <c r="BX86" t="s">
        <v>168</v>
      </c>
      <c r="BZ86" t="s">
        <v>1033</v>
      </c>
    </row>
    <row r="87" spans="1:83">
      <c r="A87">
        <v>1522</v>
      </c>
      <c r="B87" t="s">
        <v>895</v>
      </c>
      <c r="C87" t="s">
        <v>54</v>
      </c>
      <c r="D87" t="s">
        <v>1</v>
      </c>
      <c r="E87" t="s">
        <v>115</v>
      </c>
      <c r="F87" t="s">
        <v>99</v>
      </c>
      <c r="G87" t="s">
        <v>100</v>
      </c>
      <c r="H87" t="s">
        <v>103</v>
      </c>
      <c r="I87" t="s">
        <v>100</v>
      </c>
      <c r="J87" t="s">
        <v>101</v>
      </c>
      <c r="K87" t="s">
        <v>559</v>
      </c>
      <c r="L87" t="s">
        <v>559</v>
      </c>
      <c r="M87" t="s">
        <v>100</v>
      </c>
      <c r="N87" t="s">
        <v>742</v>
      </c>
      <c r="O87" t="s">
        <v>100</v>
      </c>
      <c r="Q87" t="s">
        <v>742</v>
      </c>
      <c r="R87" t="s">
        <v>119</v>
      </c>
      <c r="S87" t="s">
        <v>130</v>
      </c>
      <c r="T87" t="s">
        <v>120</v>
      </c>
      <c r="U87" t="s">
        <v>101</v>
      </c>
      <c r="V87" t="s">
        <v>121</v>
      </c>
      <c r="W87" t="s">
        <v>122</v>
      </c>
      <c r="X87" t="s">
        <v>123</v>
      </c>
      <c r="Y87">
        <v>1</v>
      </c>
      <c r="Z87" t="s">
        <v>763</v>
      </c>
      <c r="AA87" s="280">
        <v>44624</v>
      </c>
      <c r="AB87" t="s">
        <v>114</v>
      </c>
      <c r="AC87" t="s">
        <v>124</v>
      </c>
      <c r="AD87" s="280">
        <v>44651</v>
      </c>
      <c r="AE87" t="s">
        <v>125</v>
      </c>
      <c r="AF87">
        <v>3</v>
      </c>
      <c r="AG87">
        <v>0</v>
      </c>
      <c r="AH87">
        <v>0</v>
      </c>
      <c r="AI87" t="s">
        <v>126</v>
      </c>
      <c r="AL87">
        <v>1.6767123287671231</v>
      </c>
      <c r="AN87">
        <v>1.6767123287671231</v>
      </c>
      <c r="AO87">
        <v>0.67671232876712306</v>
      </c>
      <c r="AP87" t="s">
        <v>1051</v>
      </c>
      <c r="AR87" t="s">
        <v>127</v>
      </c>
      <c r="AS87">
        <v>41302.379999999997</v>
      </c>
      <c r="AU87">
        <v>0</v>
      </c>
      <c r="AV87">
        <v>0</v>
      </c>
      <c r="AW87">
        <v>0</v>
      </c>
      <c r="AX87">
        <v>41302.379999999997</v>
      </c>
      <c r="AY87">
        <v>11507.685288763874</v>
      </c>
      <c r="AZ87">
        <v>0</v>
      </c>
      <c r="BC87">
        <v>-29794.694711236123</v>
      </c>
      <c r="BE87" t="s">
        <v>114</v>
      </c>
      <c r="BH87">
        <v>-6863.2436771222465</v>
      </c>
      <c r="BI87">
        <v>-571.93697309352058</v>
      </c>
      <c r="BK87" t="s">
        <v>116</v>
      </c>
      <c r="BL87">
        <v>0</v>
      </c>
      <c r="BM87">
        <v>-36657.938388358372</v>
      </c>
      <c r="BR87">
        <v>0</v>
      </c>
      <c r="BS87">
        <v>4644.4416116416251</v>
      </c>
      <c r="BW87" t="s">
        <v>167</v>
      </c>
      <c r="BX87" t="s">
        <v>168</v>
      </c>
      <c r="BZ87" t="s">
        <v>968</v>
      </c>
    </row>
    <row r="88" spans="1:83">
      <c r="A88">
        <v>1536</v>
      </c>
      <c r="B88" t="s">
        <v>894</v>
      </c>
      <c r="C88" t="s">
        <v>54</v>
      </c>
      <c r="D88" t="s">
        <v>1</v>
      </c>
      <c r="E88" t="s">
        <v>115</v>
      </c>
      <c r="F88" t="s">
        <v>99</v>
      </c>
      <c r="G88" t="s">
        <v>100</v>
      </c>
      <c r="H88" t="s">
        <v>103</v>
      </c>
      <c r="I88" t="s">
        <v>100</v>
      </c>
      <c r="J88" t="s">
        <v>101</v>
      </c>
      <c r="K88" t="s">
        <v>559</v>
      </c>
      <c r="L88" t="s">
        <v>559</v>
      </c>
      <c r="M88" t="s">
        <v>100</v>
      </c>
      <c r="N88" t="s">
        <v>741</v>
      </c>
      <c r="O88" t="s">
        <v>100</v>
      </c>
      <c r="Q88" t="s">
        <v>741</v>
      </c>
      <c r="R88" t="s">
        <v>119</v>
      </c>
      <c r="S88" t="s">
        <v>130</v>
      </c>
      <c r="T88" t="s">
        <v>120</v>
      </c>
      <c r="U88" t="s">
        <v>101</v>
      </c>
      <c r="V88" t="s">
        <v>121</v>
      </c>
      <c r="W88" t="s">
        <v>122</v>
      </c>
      <c r="X88" t="s">
        <v>123</v>
      </c>
      <c r="Y88">
        <v>1</v>
      </c>
      <c r="Z88" t="s">
        <v>763</v>
      </c>
      <c r="AA88" s="280">
        <v>44624</v>
      </c>
      <c r="AB88" t="s">
        <v>114</v>
      </c>
      <c r="AC88" t="s">
        <v>124</v>
      </c>
      <c r="AD88" s="280">
        <v>44651</v>
      </c>
      <c r="AE88" t="s">
        <v>125</v>
      </c>
      <c r="AF88">
        <v>3</v>
      </c>
      <c r="AG88">
        <v>0</v>
      </c>
      <c r="AH88">
        <v>0</v>
      </c>
      <c r="AI88" t="s">
        <v>126</v>
      </c>
      <c r="AL88">
        <v>1.6767123287671231</v>
      </c>
      <c r="AN88">
        <v>1.6767123287671231</v>
      </c>
      <c r="AO88">
        <v>0.67671232876712306</v>
      </c>
      <c r="AP88" t="s">
        <v>1050</v>
      </c>
      <c r="AR88" t="s">
        <v>127</v>
      </c>
      <c r="AS88">
        <v>41302.379999999997</v>
      </c>
      <c r="AU88">
        <v>0</v>
      </c>
      <c r="AV88">
        <v>0</v>
      </c>
      <c r="AW88">
        <v>0</v>
      </c>
      <c r="AX88">
        <v>41302.379999999997</v>
      </c>
      <c r="AY88">
        <v>11507.685288763874</v>
      </c>
      <c r="AZ88">
        <v>0</v>
      </c>
      <c r="BC88">
        <v>-29794.694711236123</v>
      </c>
      <c r="BE88" t="s">
        <v>114</v>
      </c>
      <c r="BH88">
        <v>-6863.2436771222465</v>
      </c>
      <c r="BI88">
        <v>-571.93697309352058</v>
      </c>
      <c r="BK88" t="s">
        <v>116</v>
      </c>
      <c r="BL88">
        <v>0</v>
      </c>
      <c r="BM88">
        <v>-36657.938388358372</v>
      </c>
      <c r="BR88">
        <v>0</v>
      </c>
      <c r="BS88">
        <v>4644.4416116416251</v>
      </c>
      <c r="BW88" t="s">
        <v>167</v>
      </c>
      <c r="BX88" t="s">
        <v>168</v>
      </c>
      <c r="BZ88" t="s">
        <v>1032</v>
      </c>
    </row>
    <row r="89" spans="1:83">
      <c r="A89">
        <v>1523</v>
      </c>
      <c r="B89" t="s">
        <v>934</v>
      </c>
      <c r="C89" t="s">
        <v>54</v>
      </c>
      <c r="D89" t="s">
        <v>1</v>
      </c>
      <c r="E89" t="s">
        <v>115</v>
      </c>
      <c r="F89" t="s">
        <v>99</v>
      </c>
      <c r="G89" t="s">
        <v>100</v>
      </c>
      <c r="H89" t="s">
        <v>103</v>
      </c>
      <c r="I89" t="s">
        <v>100</v>
      </c>
      <c r="J89" t="s">
        <v>101</v>
      </c>
      <c r="K89" t="s">
        <v>559</v>
      </c>
      <c r="L89" t="s">
        <v>559</v>
      </c>
      <c r="M89" t="s">
        <v>100</v>
      </c>
      <c r="N89" t="s">
        <v>740</v>
      </c>
      <c r="O89" t="s">
        <v>100</v>
      </c>
      <c r="Q89" t="s">
        <v>740</v>
      </c>
      <c r="R89" t="s">
        <v>119</v>
      </c>
      <c r="S89" t="s">
        <v>130</v>
      </c>
      <c r="T89" t="s">
        <v>120</v>
      </c>
      <c r="U89" t="s">
        <v>101</v>
      </c>
      <c r="V89" t="s">
        <v>121</v>
      </c>
      <c r="W89" t="s">
        <v>122</v>
      </c>
      <c r="X89" t="s">
        <v>123</v>
      </c>
      <c r="Y89">
        <v>1</v>
      </c>
      <c r="Z89" t="s">
        <v>763</v>
      </c>
      <c r="AA89" s="280">
        <v>44624</v>
      </c>
      <c r="AB89" t="s">
        <v>114</v>
      </c>
      <c r="AC89" t="s">
        <v>124</v>
      </c>
      <c r="AD89" s="280">
        <v>44651</v>
      </c>
      <c r="AE89" t="s">
        <v>125</v>
      </c>
      <c r="AF89">
        <v>3</v>
      </c>
      <c r="AG89">
        <v>0</v>
      </c>
      <c r="AH89">
        <v>0</v>
      </c>
      <c r="AI89" t="s">
        <v>126</v>
      </c>
      <c r="AL89">
        <v>1.6767123287671231</v>
      </c>
      <c r="AN89">
        <v>1.6767123287671231</v>
      </c>
      <c r="AO89">
        <v>0.67671232876712306</v>
      </c>
      <c r="AP89" t="s">
        <v>1050</v>
      </c>
      <c r="AR89" t="s">
        <v>127</v>
      </c>
      <c r="AS89">
        <v>41302.379999999997</v>
      </c>
      <c r="AU89">
        <v>0</v>
      </c>
      <c r="AV89">
        <v>0</v>
      </c>
      <c r="AW89">
        <v>0</v>
      </c>
      <c r="AX89">
        <v>41302.379999999997</v>
      </c>
      <c r="AY89">
        <v>11507.685288763874</v>
      </c>
      <c r="AZ89">
        <v>0</v>
      </c>
      <c r="BC89">
        <v>-29794.694711236123</v>
      </c>
      <c r="BE89" t="s">
        <v>114</v>
      </c>
      <c r="BH89">
        <v>-6863.2436771222465</v>
      </c>
      <c r="BI89">
        <v>-571.93697309352058</v>
      </c>
      <c r="BK89" t="s">
        <v>116</v>
      </c>
      <c r="BL89">
        <v>0</v>
      </c>
      <c r="BM89">
        <v>-36657.938388358372</v>
      </c>
      <c r="BR89">
        <v>0</v>
      </c>
      <c r="BS89">
        <v>4644.4416116416251</v>
      </c>
      <c r="BW89" t="s">
        <v>167</v>
      </c>
      <c r="BX89" t="s">
        <v>168</v>
      </c>
      <c r="BZ89" t="s">
        <v>1031</v>
      </c>
    </row>
    <row r="90" spans="1:83">
      <c r="A90">
        <v>1524</v>
      </c>
      <c r="B90" t="s">
        <v>866</v>
      </c>
      <c r="C90" t="s">
        <v>54</v>
      </c>
      <c r="D90" t="s">
        <v>1</v>
      </c>
      <c r="E90" t="s">
        <v>115</v>
      </c>
      <c r="F90" t="s">
        <v>99</v>
      </c>
      <c r="G90" t="s">
        <v>100</v>
      </c>
      <c r="H90" t="s">
        <v>103</v>
      </c>
      <c r="I90" t="s">
        <v>100</v>
      </c>
      <c r="J90" t="s">
        <v>101</v>
      </c>
      <c r="K90" t="s">
        <v>559</v>
      </c>
      <c r="L90" t="s">
        <v>559</v>
      </c>
      <c r="M90" t="s">
        <v>100</v>
      </c>
      <c r="N90" t="s">
        <v>739</v>
      </c>
      <c r="O90" t="s">
        <v>100</v>
      </c>
      <c r="Q90" t="s">
        <v>739</v>
      </c>
      <c r="R90" t="s">
        <v>119</v>
      </c>
      <c r="S90" t="s">
        <v>130</v>
      </c>
      <c r="T90" t="s">
        <v>120</v>
      </c>
      <c r="U90" t="s">
        <v>101</v>
      </c>
      <c r="V90" t="s">
        <v>121</v>
      </c>
      <c r="W90" t="s">
        <v>122</v>
      </c>
      <c r="X90" t="s">
        <v>123</v>
      </c>
      <c r="Y90">
        <v>1</v>
      </c>
      <c r="Z90" t="s">
        <v>763</v>
      </c>
      <c r="AA90" s="280">
        <v>44624</v>
      </c>
      <c r="AB90" t="s">
        <v>114</v>
      </c>
      <c r="AC90" t="s">
        <v>124</v>
      </c>
      <c r="AD90" s="280">
        <v>44651</v>
      </c>
      <c r="AE90" t="s">
        <v>125</v>
      </c>
      <c r="AF90">
        <v>3</v>
      </c>
      <c r="AG90">
        <v>0</v>
      </c>
      <c r="AH90">
        <v>0</v>
      </c>
      <c r="AI90" t="s">
        <v>126</v>
      </c>
      <c r="AL90">
        <v>1.6767123287671231</v>
      </c>
      <c r="AN90">
        <v>1.6767123287671231</v>
      </c>
      <c r="AO90">
        <v>0.67671232876712306</v>
      </c>
      <c r="AP90" t="s">
        <v>1050</v>
      </c>
      <c r="AR90" t="s">
        <v>127</v>
      </c>
      <c r="AS90">
        <v>41302.379999999997</v>
      </c>
      <c r="AU90">
        <v>0</v>
      </c>
      <c r="AV90">
        <v>0</v>
      </c>
      <c r="AW90">
        <v>0</v>
      </c>
      <c r="AX90">
        <v>41302.379999999997</v>
      </c>
      <c r="AY90">
        <v>11507.685288763874</v>
      </c>
      <c r="AZ90">
        <v>0</v>
      </c>
      <c r="BC90">
        <v>-29794.694711236123</v>
      </c>
      <c r="BE90" t="s">
        <v>114</v>
      </c>
      <c r="BH90">
        <v>-6863.2436771222465</v>
      </c>
      <c r="BI90">
        <v>-571.93697309352058</v>
      </c>
      <c r="BK90" t="s">
        <v>116</v>
      </c>
      <c r="BL90">
        <v>0</v>
      </c>
      <c r="BM90">
        <v>-36657.938388358372</v>
      </c>
      <c r="BR90">
        <v>0</v>
      </c>
      <c r="BS90">
        <v>4644.4416116416251</v>
      </c>
      <c r="BW90" t="s">
        <v>167</v>
      </c>
      <c r="BX90" t="s">
        <v>168</v>
      </c>
      <c r="BZ90" t="s">
        <v>985</v>
      </c>
    </row>
    <row r="91" spans="1:83">
      <c r="A91">
        <v>1532</v>
      </c>
      <c r="B91" t="s">
        <v>877</v>
      </c>
      <c r="C91" t="s">
        <v>54</v>
      </c>
      <c r="D91" t="s">
        <v>1</v>
      </c>
      <c r="E91" t="s">
        <v>115</v>
      </c>
      <c r="F91" t="s">
        <v>99</v>
      </c>
      <c r="G91" t="s">
        <v>100</v>
      </c>
      <c r="H91" t="s">
        <v>103</v>
      </c>
      <c r="I91" t="s">
        <v>100</v>
      </c>
      <c r="J91" t="s">
        <v>101</v>
      </c>
      <c r="K91" t="s">
        <v>559</v>
      </c>
      <c r="L91" t="s">
        <v>559</v>
      </c>
      <c r="M91" t="s">
        <v>100</v>
      </c>
      <c r="N91" t="s">
        <v>738</v>
      </c>
      <c r="O91" t="s">
        <v>100</v>
      </c>
      <c r="Q91" t="s">
        <v>738</v>
      </c>
      <c r="R91" t="s">
        <v>119</v>
      </c>
      <c r="S91" t="s">
        <v>130</v>
      </c>
      <c r="T91" t="s">
        <v>120</v>
      </c>
      <c r="U91" t="s">
        <v>101</v>
      </c>
      <c r="V91" t="s">
        <v>121</v>
      </c>
      <c r="W91" t="s">
        <v>122</v>
      </c>
      <c r="X91" t="s">
        <v>123</v>
      </c>
      <c r="Y91">
        <v>1</v>
      </c>
      <c r="Z91" t="s">
        <v>762</v>
      </c>
      <c r="AA91" s="280">
        <v>44573</v>
      </c>
      <c r="AB91" t="s">
        <v>114</v>
      </c>
      <c r="AC91" t="s">
        <v>124</v>
      </c>
      <c r="AD91" s="280">
        <v>44651</v>
      </c>
      <c r="AE91" t="s">
        <v>125</v>
      </c>
      <c r="AF91">
        <v>3</v>
      </c>
      <c r="AG91">
        <v>0</v>
      </c>
      <c r="AH91">
        <v>0</v>
      </c>
      <c r="AI91" t="s">
        <v>126</v>
      </c>
      <c r="AL91">
        <v>1.536986301369863</v>
      </c>
      <c r="AN91">
        <v>1.536986301369863</v>
      </c>
      <c r="AO91">
        <v>0.53698630136986303</v>
      </c>
      <c r="AP91" t="s">
        <v>1052</v>
      </c>
      <c r="AR91" t="s">
        <v>127</v>
      </c>
      <c r="AS91">
        <v>30630.25</v>
      </c>
      <c r="AU91">
        <v>0</v>
      </c>
      <c r="AV91">
        <v>0</v>
      </c>
      <c r="AW91">
        <v>0</v>
      </c>
      <c r="AX91">
        <v>30630.25</v>
      </c>
      <c r="AY91">
        <v>7489.3800376549443</v>
      </c>
      <c r="AZ91">
        <v>0</v>
      </c>
      <c r="BC91">
        <v>-23140.869962345056</v>
      </c>
      <c r="BE91" t="s">
        <v>114</v>
      </c>
      <c r="BH91">
        <v>-4872.7695432157834</v>
      </c>
      <c r="BI91">
        <v>-406.0641286013153</v>
      </c>
      <c r="BK91" t="s">
        <v>116</v>
      </c>
      <c r="BL91">
        <v>0</v>
      </c>
      <c r="BM91">
        <v>-28013.639505560837</v>
      </c>
      <c r="BR91">
        <v>0</v>
      </c>
      <c r="BS91">
        <v>2616.6104944391627</v>
      </c>
      <c r="BW91" t="s">
        <v>167</v>
      </c>
      <c r="BX91" t="s">
        <v>168</v>
      </c>
      <c r="BZ91" t="s">
        <v>967</v>
      </c>
    </row>
    <row r="92" spans="1:83">
      <c r="A92">
        <v>1518</v>
      </c>
      <c r="B92" t="s">
        <v>886</v>
      </c>
      <c r="C92" t="s">
        <v>54</v>
      </c>
      <c r="D92" t="s">
        <v>1</v>
      </c>
      <c r="E92" t="s">
        <v>115</v>
      </c>
      <c r="F92" t="s">
        <v>99</v>
      </c>
      <c r="G92" t="s">
        <v>100</v>
      </c>
      <c r="H92" t="s">
        <v>103</v>
      </c>
      <c r="I92" t="s">
        <v>100</v>
      </c>
      <c r="J92" t="s">
        <v>101</v>
      </c>
      <c r="K92" t="s">
        <v>559</v>
      </c>
      <c r="L92" t="s">
        <v>559</v>
      </c>
      <c r="M92" t="s">
        <v>100</v>
      </c>
      <c r="N92" t="s">
        <v>737</v>
      </c>
      <c r="O92" t="s">
        <v>100</v>
      </c>
      <c r="Q92" t="s">
        <v>737</v>
      </c>
      <c r="R92" t="s">
        <v>119</v>
      </c>
      <c r="S92" t="s">
        <v>130</v>
      </c>
      <c r="T92" t="s">
        <v>120</v>
      </c>
      <c r="U92" t="s">
        <v>101</v>
      </c>
      <c r="V92" t="s">
        <v>121</v>
      </c>
      <c r="W92" t="s">
        <v>122</v>
      </c>
      <c r="X92" t="s">
        <v>123</v>
      </c>
      <c r="Y92">
        <v>1</v>
      </c>
      <c r="Z92" t="s">
        <v>762</v>
      </c>
      <c r="AA92" s="280">
        <v>44573</v>
      </c>
      <c r="AB92" t="s">
        <v>114</v>
      </c>
      <c r="AC92" t="s">
        <v>124</v>
      </c>
      <c r="AD92" s="280">
        <v>44651</v>
      </c>
      <c r="AE92" t="s">
        <v>125</v>
      </c>
      <c r="AF92">
        <v>3</v>
      </c>
      <c r="AG92">
        <v>0</v>
      </c>
      <c r="AH92">
        <v>0</v>
      </c>
      <c r="AI92" t="s">
        <v>126</v>
      </c>
      <c r="AL92">
        <v>1.536986301369863</v>
      </c>
      <c r="AN92">
        <v>1.536986301369863</v>
      </c>
      <c r="AO92">
        <v>0.53698630136986303</v>
      </c>
      <c r="AP92" t="s">
        <v>1050</v>
      </c>
      <c r="AR92" t="s">
        <v>127</v>
      </c>
      <c r="AS92">
        <v>30630.25</v>
      </c>
      <c r="AU92">
        <v>0</v>
      </c>
      <c r="AV92">
        <v>0</v>
      </c>
      <c r="AW92">
        <v>0</v>
      </c>
      <c r="AX92">
        <v>30630.25</v>
      </c>
      <c r="AY92">
        <v>7489.3800376549443</v>
      </c>
      <c r="AZ92">
        <v>0</v>
      </c>
      <c r="BC92">
        <v>-23140.869962345056</v>
      </c>
      <c r="BE92" t="s">
        <v>114</v>
      </c>
      <c r="BH92">
        <v>-4872.7695432157834</v>
      </c>
      <c r="BI92">
        <v>-406.0641286013153</v>
      </c>
      <c r="BK92" t="s">
        <v>116</v>
      </c>
      <c r="BL92">
        <v>0</v>
      </c>
      <c r="BM92">
        <v>-28013.639505560837</v>
      </c>
      <c r="BR92">
        <v>0</v>
      </c>
      <c r="BS92">
        <v>2616.6104944391627</v>
      </c>
      <c r="BW92" t="s">
        <v>167</v>
      </c>
      <c r="BX92" t="s">
        <v>168</v>
      </c>
      <c r="BZ92" t="s">
        <v>995</v>
      </c>
    </row>
    <row r="93" spans="1:83">
      <c r="A93">
        <v>1442</v>
      </c>
      <c r="B93" t="s">
        <v>906</v>
      </c>
      <c r="C93" t="s">
        <v>54</v>
      </c>
      <c r="D93" t="s">
        <v>1</v>
      </c>
      <c r="E93" t="s">
        <v>115</v>
      </c>
      <c r="F93" t="s">
        <v>99</v>
      </c>
      <c r="G93" t="s">
        <v>100</v>
      </c>
      <c r="H93" t="s">
        <v>103</v>
      </c>
      <c r="I93" t="s">
        <v>100</v>
      </c>
      <c r="J93" t="s">
        <v>101</v>
      </c>
      <c r="K93" t="s">
        <v>559</v>
      </c>
      <c r="L93" t="s">
        <v>559</v>
      </c>
      <c r="M93" t="s">
        <v>100</v>
      </c>
      <c r="N93" t="s">
        <v>736</v>
      </c>
      <c r="O93" t="s">
        <v>100</v>
      </c>
      <c r="Q93" t="s">
        <v>736</v>
      </c>
      <c r="R93" t="s">
        <v>119</v>
      </c>
      <c r="S93" t="s">
        <v>130</v>
      </c>
      <c r="T93" t="s">
        <v>120</v>
      </c>
      <c r="U93" t="s">
        <v>101</v>
      </c>
      <c r="V93" t="s">
        <v>121</v>
      </c>
      <c r="W93" t="s">
        <v>122</v>
      </c>
      <c r="X93" t="s">
        <v>123</v>
      </c>
      <c r="Y93">
        <v>1</v>
      </c>
      <c r="Z93" t="s">
        <v>761</v>
      </c>
      <c r="AA93" s="280">
        <v>44175</v>
      </c>
      <c r="AB93" t="s">
        <v>114</v>
      </c>
      <c r="AC93" t="s">
        <v>124</v>
      </c>
      <c r="AD93" s="280">
        <v>44651</v>
      </c>
      <c r="AE93" t="s">
        <v>125</v>
      </c>
      <c r="AF93">
        <v>3</v>
      </c>
      <c r="AG93">
        <v>0</v>
      </c>
      <c r="AH93">
        <v>0</v>
      </c>
      <c r="AI93" t="s">
        <v>126</v>
      </c>
      <c r="AL93">
        <v>0.4465753424657537</v>
      </c>
      <c r="AN93">
        <v>0.4465753424657537</v>
      </c>
      <c r="AO93">
        <v>-0.5534246575342463</v>
      </c>
      <c r="AP93" t="s">
        <v>1051</v>
      </c>
      <c r="AR93" t="s">
        <v>127</v>
      </c>
      <c r="AS93">
        <v>25858.92</v>
      </c>
      <c r="AU93">
        <v>0</v>
      </c>
      <c r="AV93">
        <v>0</v>
      </c>
      <c r="AW93">
        <v>0</v>
      </c>
      <c r="AX93">
        <v>25858.92</v>
      </c>
      <c r="AY93">
        <v>478.64141008390652</v>
      </c>
      <c r="AZ93">
        <v>0</v>
      </c>
      <c r="BC93">
        <v>-25380.278589916092</v>
      </c>
      <c r="BE93" t="s">
        <v>114</v>
      </c>
      <c r="BH93">
        <v>-1071.8043845437164</v>
      </c>
      <c r="BI93">
        <v>-89.317032045309702</v>
      </c>
      <c r="BK93" t="s">
        <v>116</v>
      </c>
      <c r="BL93">
        <v>0</v>
      </c>
      <c r="BM93">
        <v>-26452.082974459809</v>
      </c>
      <c r="BR93">
        <v>0</v>
      </c>
      <c r="BS93">
        <v>-593.16297445981036</v>
      </c>
      <c r="BW93" t="s">
        <v>167</v>
      </c>
      <c r="BX93" t="s">
        <v>168</v>
      </c>
      <c r="BZ93" t="s">
        <v>990</v>
      </c>
    </row>
    <row r="94" spans="1:83">
      <c r="A94">
        <v>1438</v>
      </c>
      <c r="B94" t="s">
        <v>920</v>
      </c>
      <c r="C94" t="s">
        <v>54</v>
      </c>
      <c r="D94" t="s">
        <v>1</v>
      </c>
      <c r="E94" t="s">
        <v>115</v>
      </c>
      <c r="F94" t="s">
        <v>99</v>
      </c>
      <c r="G94" t="s">
        <v>100</v>
      </c>
      <c r="H94" t="s">
        <v>103</v>
      </c>
      <c r="I94" t="s">
        <v>100</v>
      </c>
      <c r="J94" t="s">
        <v>101</v>
      </c>
      <c r="K94" t="s">
        <v>559</v>
      </c>
      <c r="L94" t="s">
        <v>559</v>
      </c>
      <c r="M94" t="s">
        <v>100</v>
      </c>
      <c r="N94" t="s">
        <v>735</v>
      </c>
      <c r="O94" t="s">
        <v>100</v>
      </c>
      <c r="Q94" t="s">
        <v>735</v>
      </c>
      <c r="R94" t="s">
        <v>119</v>
      </c>
      <c r="S94" t="s">
        <v>130</v>
      </c>
      <c r="T94" t="s">
        <v>120</v>
      </c>
      <c r="U94" t="s">
        <v>101</v>
      </c>
      <c r="V94" t="s">
        <v>121</v>
      </c>
      <c r="W94" t="s">
        <v>122</v>
      </c>
      <c r="X94" t="s">
        <v>123</v>
      </c>
      <c r="Y94">
        <v>1</v>
      </c>
      <c r="Z94" t="s">
        <v>761</v>
      </c>
      <c r="AA94" s="280">
        <v>44175</v>
      </c>
      <c r="AB94" t="s">
        <v>114</v>
      </c>
      <c r="AC94" t="s">
        <v>124</v>
      </c>
      <c r="AD94" s="280">
        <v>44651</v>
      </c>
      <c r="AE94" t="s">
        <v>125</v>
      </c>
      <c r="AF94">
        <v>3</v>
      </c>
      <c r="AG94">
        <v>0</v>
      </c>
      <c r="AH94">
        <v>0</v>
      </c>
      <c r="AI94" t="s">
        <v>126</v>
      </c>
      <c r="AL94">
        <v>0.4465753424657537</v>
      </c>
      <c r="AN94">
        <v>0.4465753424657537</v>
      </c>
      <c r="AO94">
        <v>-0.5534246575342463</v>
      </c>
      <c r="AP94" t="s">
        <v>1051</v>
      </c>
      <c r="AR94" t="s">
        <v>127</v>
      </c>
      <c r="AS94">
        <v>25858.92</v>
      </c>
      <c r="AU94">
        <v>0</v>
      </c>
      <c r="AV94">
        <v>0</v>
      </c>
      <c r="AW94">
        <v>0</v>
      </c>
      <c r="AX94">
        <v>25858.92</v>
      </c>
      <c r="AY94">
        <v>478.64141008390652</v>
      </c>
      <c r="AZ94">
        <v>0</v>
      </c>
      <c r="BC94">
        <v>-25380.278589916092</v>
      </c>
      <c r="BE94" t="s">
        <v>114</v>
      </c>
      <c r="BH94">
        <v>-1071.8043845437164</v>
      </c>
      <c r="BI94">
        <v>-89.317032045309702</v>
      </c>
      <c r="BK94" t="s">
        <v>116</v>
      </c>
      <c r="BL94">
        <v>0</v>
      </c>
      <c r="BM94">
        <v>-26452.082974459809</v>
      </c>
      <c r="BR94">
        <v>0</v>
      </c>
      <c r="BS94">
        <v>-593.16297445981036</v>
      </c>
      <c r="BW94" t="s">
        <v>167</v>
      </c>
      <c r="BX94" t="s">
        <v>168</v>
      </c>
      <c r="BZ94" t="s">
        <v>945</v>
      </c>
    </row>
    <row r="95" spans="1:83">
      <c r="A95">
        <v>1441</v>
      </c>
      <c r="B95" t="s">
        <v>866</v>
      </c>
      <c r="C95" t="s">
        <v>54</v>
      </c>
      <c r="D95" t="s">
        <v>1</v>
      </c>
      <c r="E95" t="s">
        <v>115</v>
      </c>
      <c r="F95" t="s">
        <v>99</v>
      </c>
      <c r="G95" t="s">
        <v>100</v>
      </c>
      <c r="H95" t="s">
        <v>103</v>
      </c>
      <c r="I95" t="s">
        <v>100</v>
      </c>
      <c r="J95" t="s">
        <v>101</v>
      </c>
      <c r="K95" t="s">
        <v>559</v>
      </c>
      <c r="L95" t="s">
        <v>559</v>
      </c>
      <c r="M95" t="s">
        <v>100</v>
      </c>
      <c r="N95" t="s">
        <v>734</v>
      </c>
      <c r="O95" t="s">
        <v>100</v>
      </c>
      <c r="Q95" t="s">
        <v>734</v>
      </c>
      <c r="R95" t="s">
        <v>119</v>
      </c>
      <c r="S95" t="s">
        <v>130</v>
      </c>
      <c r="T95" t="s">
        <v>120</v>
      </c>
      <c r="U95" t="s">
        <v>101</v>
      </c>
      <c r="V95" t="s">
        <v>121</v>
      </c>
      <c r="W95" t="s">
        <v>122</v>
      </c>
      <c r="X95" t="s">
        <v>123</v>
      </c>
      <c r="Y95">
        <v>1</v>
      </c>
      <c r="Z95" t="s">
        <v>761</v>
      </c>
      <c r="AA95" s="280">
        <v>44175</v>
      </c>
      <c r="AB95" t="s">
        <v>114</v>
      </c>
      <c r="AC95" t="s">
        <v>124</v>
      </c>
      <c r="AD95" s="280">
        <v>44651</v>
      </c>
      <c r="AE95" t="s">
        <v>125</v>
      </c>
      <c r="AF95">
        <v>3</v>
      </c>
      <c r="AG95">
        <v>0</v>
      </c>
      <c r="AH95">
        <v>0</v>
      </c>
      <c r="AI95" t="s">
        <v>126</v>
      </c>
      <c r="AL95">
        <v>0.4465753424657537</v>
      </c>
      <c r="AN95">
        <v>0.4465753424657537</v>
      </c>
      <c r="AO95">
        <v>-0.5534246575342463</v>
      </c>
      <c r="AP95" t="s">
        <v>1051</v>
      </c>
      <c r="AR95" t="s">
        <v>127</v>
      </c>
      <c r="AS95">
        <v>25858.92</v>
      </c>
      <c r="AU95">
        <v>0</v>
      </c>
      <c r="AV95">
        <v>0</v>
      </c>
      <c r="AW95">
        <v>0</v>
      </c>
      <c r="AX95">
        <v>25858.92</v>
      </c>
      <c r="AY95">
        <v>478.64141008390652</v>
      </c>
      <c r="AZ95">
        <v>0</v>
      </c>
      <c r="BC95">
        <v>-25380.278589916092</v>
      </c>
      <c r="BE95" t="s">
        <v>114</v>
      </c>
      <c r="BH95">
        <v>-1071.8043845437164</v>
      </c>
      <c r="BI95">
        <v>-89.317032045309702</v>
      </c>
      <c r="BK95" t="s">
        <v>116</v>
      </c>
      <c r="BL95">
        <v>0</v>
      </c>
      <c r="BM95">
        <v>-26452.082974459809</v>
      </c>
      <c r="BR95">
        <v>0</v>
      </c>
      <c r="BS95">
        <v>-593.16297445981036</v>
      </c>
      <c r="BW95" t="s">
        <v>167</v>
      </c>
      <c r="BX95" t="s">
        <v>168</v>
      </c>
      <c r="BZ95" t="s">
        <v>983</v>
      </c>
    </row>
    <row r="96" spans="1:83">
      <c r="A96">
        <v>1444</v>
      </c>
      <c r="B96" t="s">
        <v>873</v>
      </c>
      <c r="C96" t="s">
        <v>54</v>
      </c>
      <c r="D96" t="s">
        <v>1</v>
      </c>
      <c r="E96" t="s">
        <v>115</v>
      </c>
      <c r="F96" t="s">
        <v>99</v>
      </c>
      <c r="G96" t="s">
        <v>100</v>
      </c>
      <c r="H96" t="s">
        <v>103</v>
      </c>
      <c r="I96" t="s">
        <v>100</v>
      </c>
      <c r="J96" t="s">
        <v>101</v>
      </c>
      <c r="K96" t="s">
        <v>559</v>
      </c>
      <c r="L96" t="s">
        <v>559</v>
      </c>
      <c r="M96" t="s">
        <v>100</v>
      </c>
      <c r="N96" t="s">
        <v>733</v>
      </c>
      <c r="O96" t="s">
        <v>100</v>
      </c>
      <c r="Q96" t="s">
        <v>733</v>
      </c>
      <c r="R96" t="s">
        <v>119</v>
      </c>
      <c r="S96" t="s">
        <v>130</v>
      </c>
      <c r="T96" t="s">
        <v>120</v>
      </c>
      <c r="U96" t="s">
        <v>101</v>
      </c>
      <c r="V96" t="s">
        <v>121</v>
      </c>
      <c r="W96" t="s">
        <v>122</v>
      </c>
      <c r="X96" t="s">
        <v>123</v>
      </c>
      <c r="Y96">
        <v>1</v>
      </c>
      <c r="Z96" t="s">
        <v>761</v>
      </c>
      <c r="AA96" s="280">
        <v>44175</v>
      </c>
      <c r="AB96" t="s">
        <v>114</v>
      </c>
      <c r="AC96" t="s">
        <v>124</v>
      </c>
      <c r="AD96" s="280">
        <v>44651</v>
      </c>
      <c r="AE96" t="s">
        <v>125</v>
      </c>
      <c r="AF96">
        <v>3</v>
      </c>
      <c r="AG96">
        <v>0</v>
      </c>
      <c r="AH96">
        <v>0</v>
      </c>
      <c r="AI96" t="s">
        <v>126</v>
      </c>
      <c r="AL96">
        <v>0.4465753424657537</v>
      </c>
      <c r="AN96">
        <v>0.4465753424657537</v>
      </c>
      <c r="AO96">
        <v>-0.5534246575342463</v>
      </c>
      <c r="AP96" t="s">
        <v>1051</v>
      </c>
      <c r="AR96" t="s">
        <v>127</v>
      </c>
      <c r="AS96">
        <v>25858.92</v>
      </c>
      <c r="AU96">
        <v>0</v>
      </c>
      <c r="AV96">
        <v>0</v>
      </c>
      <c r="AW96">
        <v>0</v>
      </c>
      <c r="AX96">
        <v>25858.92</v>
      </c>
      <c r="AY96">
        <v>478.64141008390652</v>
      </c>
      <c r="AZ96">
        <v>0</v>
      </c>
      <c r="BC96">
        <v>-25380.278589916092</v>
      </c>
      <c r="BE96" t="s">
        <v>114</v>
      </c>
      <c r="BH96">
        <v>-1071.8043845437164</v>
      </c>
      <c r="BI96">
        <v>-89.317032045309702</v>
      </c>
      <c r="BK96" t="s">
        <v>116</v>
      </c>
      <c r="BL96">
        <v>0</v>
      </c>
      <c r="BM96">
        <v>-26452.082974459809</v>
      </c>
      <c r="BR96">
        <v>0</v>
      </c>
      <c r="BS96">
        <v>-593.16297445981036</v>
      </c>
      <c r="BW96" t="s">
        <v>167</v>
      </c>
      <c r="BX96" t="s">
        <v>168</v>
      </c>
      <c r="BZ96" t="s">
        <v>1030</v>
      </c>
    </row>
    <row r="97" spans="1:78">
      <c r="A97">
        <v>1445</v>
      </c>
      <c r="B97" t="s">
        <v>859</v>
      </c>
      <c r="C97" t="s">
        <v>54</v>
      </c>
      <c r="D97" t="s">
        <v>1</v>
      </c>
      <c r="E97" t="s">
        <v>115</v>
      </c>
      <c r="F97" t="s">
        <v>99</v>
      </c>
      <c r="G97" t="s">
        <v>100</v>
      </c>
      <c r="H97" t="s">
        <v>103</v>
      </c>
      <c r="I97" t="s">
        <v>100</v>
      </c>
      <c r="J97" t="s">
        <v>101</v>
      </c>
      <c r="K97" t="s">
        <v>559</v>
      </c>
      <c r="L97" t="s">
        <v>559</v>
      </c>
      <c r="M97" t="s">
        <v>100</v>
      </c>
      <c r="N97" t="s">
        <v>732</v>
      </c>
      <c r="O97" t="s">
        <v>100</v>
      </c>
      <c r="Q97" t="s">
        <v>732</v>
      </c>
      <c r="R97" t="s">
        <v>119</v>
      </c>
      <c r="S97" t="s">
        <v>130</v>
      </c>
      <c r="T97" t="s">
        <v>120</v>
      </c>
      <c r="U97" t="s">
        <v>101</v>
      </c>
      <c r="V97" t="s">
        <v>121</v>
      </c>
      <c r="W97" t="s">
        <v>122</v>
      </c>
      <c r="X97" t="s">
        <v>123</v>
      </c>
      <c r="Y97">
        <v>1</v>
      </c>
      <c r="Z97" t="s">
        <v>761</v>
      </c>
      <c r="AA97" s="280">
        <v>44175</v>
      </c>
      <c r="AB97" t="s">
        <v>114</v>
      </c>
      <c r="AC97" t="s">
        <v>124</v>
      </c>
      <c r="AD97" s="280">
        <v>44651</v>
      </c>
      <c r="AE97" t="s">
        <v>125</v>
      </c>
      <c r="AF97">
        <v>3</v>
      </c>
      <c r="AG97">
        <v>0</v>
      </c>
      <c r="AH97">
        <v>0</v>
      </c>
      <c r="AI97" t="s">
        <v>126</v>
      </c>
      <c r="AL97">
        <v>0.4465753424657537</v>
      </c>
      <c r="AN97">
        <v>0.4465753424657537</v>
      </c>
      <c r="AO97">
        <v>-0.5534246575342463</v>
      </c>
      <c r="AP97" t="s">
        <v>1051</v>
      </c>
      <c r="AR97" t="s">
        <v>127</v>
      </c>
      <c r="AS97">
        <v>25858.92</v>
      </c>
      <c r="AU97">
        <v>0</v>
      </c>
      <c r="AV97">
        <v>0</v>
      </c>
      <c r="AW97">
        <v>0</v>
      </c>
      <c r="AX97">
        <v>25858.92</v>
      </c>
      <c r="AY97">
        <v>478.64141008390652</v>
      </c>
      <c r="AZ97">
        <v>0</v>
      </c>
      <c r="BC97">
        <v>-25380.278589916092</v>
      </c>
      <c r="BE97" t="s">
        <v>114</v>
      </c>
      <c r="BH97">
        <v>-1071.8043845437164</v>
      </c>
      <c r="BI97">
        <v>-89.317032045309702</v>
      </c>
      <c r="BK97" t="s">
        <v>116</v>
      </c>
      <c r="BL97">
        <v>0</v>
      </c>
      <c r="BM97">
        <v>-26452.082974459809</v>
      </c>
      <c r="BR97">
        <v>0</v>
      </c>
      <c r="BS97">
        <v>-593.16297445981036</v>
      </c>
      <c r="BW97" t="s">
        <v>167</v>
      </c>
      <c r="BX97" t="s">
        <v>168</v>
      </c>
      <c r="BZ97" t="s">
        <v>986</v>
      </c>
    </row>
    <row r="98" spans="1:78">
      <c r="A98">
        <v>1299</v>
      </c>
      <c r="B98" t="s">
        <v>933</v>
      </c>
      <c r="C98" t="s">
        <v>54</v>
      </c>
      <c r="D98" t="s">
        <v>1</v>
      </c>
      <c r="E98" t="s">
        <v>115</v>
      </c>
      <c r="F98" t="s">
        <v>99</v>
      </c>
      <c r="G98" t="s">
        <v>100</v>
      </c>
      <c r="H98" t="s">
        <v>103</v>
      </c>
      <c r="I98" t="s">
        <v>100</v>
      </c>
      <c r="J98" t="s">
        <v>101</v>
      </c>
      <c r="K98" t="s">
        <v>559</v>
      </c>
      <c r="L98" t="s">
        <v>559</v>
      </c>
      <c r="M98" t="s">
        <v>100</v>
      </c>
      <c r="N98" t="s">
        <v>731</v>
      </c>
      <c r="O98" t="s">
        <v>100</v>
      </c>
      <c r="Q98" t="s">
        <v>731</v>
      </c>
      <c r="R98" t="s">
        <v>119</v>
      </c>
      <c r="S98" t="s">
        <v>130</v>
      </c>
      <c r="T98" t="s">
        <v>120</v>
      </c>
      <c r="U98" t="s">
        <v>101</v>
      </c>
      <c r="V98" t="s">
        <v>121</v>
      </c>
      <c r="W98" t="s">
        <v>122</v>
      </c>
      <c r="X98" t="s">
        <v>123</v>
      </c>
      <c r="Y98">
        <v>1</v>
      </c>
      <c r="Z98" t="s">
        <v>679</v>
      </c>
      <c r="AA98" s="280">
        <v>43375</v>
      </c>
      <c r="AB98" t="s">
        <v>114</v>
      </c>
      <c r="AC98" t="s">
        <v>124</v>
      </c>
      <c r="AD98" s="280">
        <v>44651</v>
      </c>
      <c r="AE98" t="s">
        <v>125</v>
      </c>
      <c r="AF98">
        <v>3</v>
      </c>
      <c r="AG98">
        <v>0</v>
      </c>
      <c r="AH98">
        <v>0</v>
      </c>
      <c r="AI98" t="s">
        <v>126</v>
      </c>
      <c r="AL98">
        <v>1.5</v>
      </c>
      <c r="AN98">
        <v>1.5</v>
      </c>
      <c r="AO98">
        <v>0.5</v>
      </c>
      <c r="AP98" t="s">
        <v>1051</v>
      </c>
      <c r="AR98" t="s">
        <v>127</v>
      </c>
      <c r="AS98">
        <v>28678.400000000001</v>
      </c>
      <c r="AU98">
        <v>0</v>
      </c>
      <c r="AV98">
        <v>0</v>
      </c>
      <c r="AW98">
        <v>0</v>
      </c>
      <c r="AX98">
        <v>28678.400000000001</v>
      </c>
      <c r="AY98">
        <v>1229.0742857142868</v>
      </c>
      <c r="AZ98">
        <v>0</v>
      </c>
      <c r="BC98">
        <v>-27449.325714285715</v>
      </c>
      <c r="BE98" t="s">
        <v>114</v>
      </c>
      <c r="BH98">
        <v>-819.38285714285792</v>
      </c>
      <c r="BI98">
        <v>-68.281904761904826</v>
      </c>
      <c r="BK98" t="s">
        <v>116</v>
      </c>
      <c r="BL98">
        <v>0</v>
      </c>
      <c r="BM98">
        <v>-28268.708571428571</v>
      </c>
      <c r="BR98">
        <v>0</v>
      </c>
      <c r="BS98">
        <v>409.69142857143015</v>
      </c>
      <c r="BW98" t="s">
        <v>167</v>
      </c>
      <c r="BX98" t="s">
        <v>168</v>
      </c>
      <c r="BZ98" t="s">
        <v>978</v>
      </c>
    </row>
    <row r="99" spans="1:78">
      <c r="A99">
        <v>1293</v>
      </c>
      <c r="B99" t="s">
        <v>932</v>
      </c>
      <c r="C99" t="s">
        <v>54</v>
      </c>
      <c r="D99" t="s">
        <v>1</v>
      </c>
      <c r="E99" t="s">
        <v>115</v>
      </c>
      <c r="F99" t="s">
        <v>99</v>
      </c>
      <c r="G99" t="s">
        <v>100</v>
      </c>
      <c r="H99" t="s">
        <v>103</v>
      </c>
      <c r="I99" t="s">
        <v>100</v>
      </c>
      <c r="J99" t="s">
        <v>101</v>
      </c>
      <c r="K99" t="s">
        <v>559</v>
      </c>
      <c r="L99" t="s">
        <v>559</v>
      </c>
      <c r="M99" t="s">
        <v>100</v>
      </c>
      <c r="N99" t="s">
        <v>730</v>
      </c>
      <c r="O99" t="s">
        <v>100</v>
      </c>
      <c r="Q99" t="s">
        <v>730</v>
      </c>
      <c r="R99" t="s">
        <v>119</v>
      </c>
      <c r="S99" t="s">
        <v>130</v>
      </c>
      <c r="T99" t="s">
        <v>120</v>
      </c>
      <c r="U99" t="s">
        <v>101</v>
      </c>
      <c r="V99" t="s">
        <v>121</v>
      </c>
      <c r="W99" t="s">
        <v>122</v>
      </c>
      <c r="X99" t="s">
        <v>123</v>
      </c>
      <c r="Y99">
        <v>1</v>
      </c>
      <c r="Z99" t="s">
        <v>679</v>
      </c>
      <c r="AA99" s="280">
        <v>43375</v>
      </c>
      <c r="AB99" t="s">
        <v>114</v>
      </c>
      <c r="AC99" t="s">
        <v>124</v>
      </c>
      <c r="AD99" s="280">
        <v>44651</v>
      </c>
      <c r="AE99" t="s">
        <v>125</v>
      </c>
      <c r="AF99">
        <v>3</v>
      </c>
      <c r="AG99">
        <v>0</v>
      </c>
      <c r="AH99">
        <v>0</v>
      </c>
      <c r="AI99" t="s">
        <v>126</v>
      </c>
      <c r="AL99">
        <v>1.5</v>
      </c>
      <c r="AN99">
        <v>1.5</v>
      </c>
      <c r="AO99">
        <v>0.5</v>
      </c>
      <c r="AP99" t="s">
        <v>1050</v>
      </c>
      <c r="AR99" t="s">
        <v>127</v>
      </c>
      <c r="AS99">
        <v>28678.44</v>
      </c>
      <c r="AU99">
        <v>0</v>
      </c>
      <c r="AV99">
        <v>0</v>
      </c>
      <c r="AW99">
        <v>0</v>
      </c>
      <c r="AX99">
        <v>28678.44</v>
      </c>
      <c r="AY99">
        <v>1229.0760000000009</v>
      </c>
      <c r="AZ99">
        <v>0</v>
      </c>
      <c r="BC99">
        <v>-27449.363999999998</v>
      </c>
      <c r="BE99" t="s">
        <v>114</v>
      </c>
      <c r="BH99">
        <v>-819.38400000000058</v>
      </c>
      <c r="BI99">
        <v>-68.282000000000053</v>
      </c>
      <c r="BK99" t="s">
        <v>116</v>
      </c>
      <c r="BL99">
        <v>0</v>
      </c>
      <c r="BM99">
        <v>-28268.748</v>
      </c>
      <c r="BR99">
        <v>0</v>
      </c>
      <c r="BS99">
        <v>409.6919999999991</v>
      </c>
      <c r="BW99" t="s">
        <v>167</v>
      </c>
      <c r="BX99" t="s">
        <v>168</v>
      </c>
      <c r="BZ99" t="s">
        <v>1029</v>
      </c>
    </row>
    <row r="100" spans="1:78">
      <c r="A100">
        <v>1110</v>
      </c>
      <c r="B100" t="s">
        <v>859</v>
      </c>
      <c r="C100" t="s">
        <v>54</v>
      </c>
      <c r="D100" t="s">
        <v>1</v>
      </c>
      <c r="E100" t="s">
        <v>115</v>
      </c>
      <c r="F100" t="s">
        <v>99</v>
      </c>
      <c r="G100" t="s">
        <v>100</v>
      </c>
      <c r="H100" t="s">
        <v>103</v>
      </c>
      <c r="I100" t="s">
        <v>100</v>
      </c>
      <c r="J100" t="s">
        <v>101</v>
      </c>
      <c r="K100" t="s">
        <v>559</v>
      </c>
      <c r="L100" t="s">
        <v>559</v>
      </c>
      <c r="M100" t="s">
        <v>100</v>
      </c>
      <c r="N100" t="s">
        <v>729</v>
      </c>
      <c r="O100" t="s">
        <v>100</v>
      </c>
      <c r="Q100" t="s">
        <v>729</v>
      </c>
      <c r="R100" t="s">
        <v>119</v>
      </c>
      <c r="S100" t="s">
        <v>130</v>
      </c>
      <c r="T100" t="s">
        <v>120</v>
      </c>
      <c r="U100" t="s">
        <v>101</v>
      </c>
      <c r="V100" t="s">
        <v>121</v>
      </c>
      <c r="W100" t="s">
        <v>122</v>
      </c>
      <c r="X100" t="s">
        <v>123</v>
      </c>
      <c r="Y100">
        <v>1</v>
      </c>
      <c r="Z100" t="s">
        <v>760</v>
      </c>
      <c r="AA100" s="280">
        <v>43314</v>
      </c>
      <c r="AB100" t="s">
        <v>114</v>
      </c>
      <c r="AC100" t="s">
        <v>124</v>
      </c>
      <c r="AD100" s="280">
        <v>44651</v>
      </c>
      <c r="AE100" t="s">
        <v>125</v>
      </c>
      <c r="AF100">
        <v>3</v>
      </c>
      <c r="AG100">
        <v>0</v>
      </c>
      <c r="AH100">
        <v>0</v>
      </c>
      <c r="AI100" t="s">
        <v>126</v>
      </c>
      <c r="AL100">
        <v>1.5</v>
      </c>
      <c r="AN100">
        <v>1.5</v>
      </c>
      <c r="AO100">
        <v>0.5</v>
      </c>
      <c r="AP100" t="s">
        <v>1050</v>
      </c>
      <c r="AR100" t="s">
        <v>127</v>
      </c>
      <c r="AS100">
        <v>15659.36</v>
      </c>
      <c r="AU100">
        <v>0</v>
      </c>
      <c r="AW100">
        <v>0</v>
      </c>
      <c r="AX100">
        <v>15659.36</v>
      </c>
      <c r="AY100">
        <v>671.1154285714274</v>
      </c>
      <c r="AZ100">
        <v>0</v>
      </c>
      <c r="BC100">
        <v>-14988.244571428573</v>
      </c>
      <c r="BE100" t="s">
        <v>114</v>
      </c>
      <c r="BH100">
        <v>-447.41028571428495</v>
      </c>
      <c r="BI100">
        <v>-37.28419047619041</v>
      </c>
      <c r="BK100" t="s">
        <v>116</v>
      </c>
      <c r="BL100">
        <v>0</v>
      </c>
      <c r="BM100">
        <v>-15435.654857142858</v>
      </c>
      <c r="BR100">
        <v>0</v>
      </c>
      <c r="BS100">
        <v>223.70514285714307</v>
      </c>
      <c r="BW100" t="s">
        <v>167</v>
      </c>
      <c r="BX100" t="s">
        <v>168</v>
      </c>
      <c r="BZ100" t="s">
        <v>1028</v>
      </c>
    </row>
    <row r="101" spans="1:78">
      <c r="A101">
        <v>1265</v>
      </c>
      <c r="B101" t="s">
        <v>867</v>
      </c>
      <c r="C101" t="s">
        <v>54</v>
      </c>
      <c r="D101" t="s">
        <v>1</v>
      </c>
      <c r="E101" t="s">
        <v>115</v>
      </c>
      <c r="F101" t="s">
        <v>99</v>
      </c>
      <c r="G101" t="s">
        <v>100</v>
      </c>
      <c r="H101" t="s">
        <v>103</v>
      </c>
      <c r="I101" t="s">
        <v>100</v>
      </c>
      <c r="J101" t="s">
        <v>101</v>
      </c>
      <c r="K101" t="s">
        <v>559</v>
      </c>
      <c r="L101" t="s">
        <v>559</v>
      </c>
      <c r="M101" t="s">
        <v>100</v>
      </c>
      <c r="N101" t="s">
        <v>728</v>
      </c>
      <c r="O101" t="s">
        <v>100</v>
      </c>
      <c r="Q101" t="s">
        <v>728</v>
      </c>
      <c r="R101" t="s">
        <v>119</v>
      </c>
      <c r="S101" t="s">
        <v>130</v>
      </c>
      <c r="T101" t="s">
        <v>120</v>
      </c>
      <c r="U101" t="s">
        <v>101</v>
      </c>
      <c r="V101" t="s">
        <v>121</v>
      </c>
      <c r="W101" t="s">
        <v>122</v>
      </c>
      <c r="X101" t="s">
        <v>123</v>
      </c>
      <c r="Y101">
        <v>1</v>
      </c>
      <c r="Z101" t="s">
        <v>759</v>
      </c>
      <c r="AA101" s="280">
        <v>43328</v>
      </c>
      <c r="AB101" t="s">
        <v>114</v>
      </c>
      <c r="AC101" t="s">
        <v>124</v>
      </c>
      <c r="AD101" s="280">
        <v>44651</v>
      </c>
      <c r="AE101" t="s">
        <v>125</v>
      </c>
      <c r="AF101">
        <v>3</v>
      </c>
      <c r="AG101">
        <v>0</v>
      </c>
      <c r="AH101">
        <v>0</v>
      </c>
      <c r="AI101" t="s">
        <v>126</v>
      </c>
      <c r="AL101">
        <v>1.5</v>
      </c>
      <c r="AN101">
        <v>1.5</v>
      </c>
      <c r="AO101">
        <v>0.5</v>
      </c>
      <c r="AP101" t="s">
        <v>1052</v>
      </c>
      <c r="AR101" t="s">
        <v>127</v>
      </c>
      <c r="AS101">
        <v>28678.44</v>
      </c>
      <c r="AU101">
        <v>0</v>
      </c>
      <c r="AV101">
        <v>0</v>
      </c>
      <c r="AW101">
        <v>0</v>
      </c>
      <c r="AX101">
        <v>28678.44</v>
      </c>
      <c r="AY101">
        <v>1229.0760000000009</v>
      </c>
      <c r="AZ101">
        <v>0</v>
      </c>
      <c r="BC101">
        <v>-27449.363999999998</v>
      </c>
      <c r="BE101" t="s">
        <v>114</v>
      </c>
      <c r="BH101">
        <v>-819.38400000000058</v>
      </c>
      <c r="BI101">
        <v>-68.282000000000053</v>
      </c>
      <c r="BK101" t="s">
        <v>116</v>
      </c>
      <c r="BL101">
        <v>0</v>
      </c>
      <c r="BM101">
        <v>-28268.748</v>
      </c>
      <c r="BR101">
        <v>0</v>
      </c>
      <c r="BS101">
        <v>409.6919999999991</v>
      </c>
      <c r="BW101" t="s">
        <v>167</v>
      </c>
      <c r="BX101" t="s">
        <v>168</v>
      </c>
      <c r="BZ101" t="s">
        <v>951</v>
      </c>
    </row>
    <row r="102" spans="1:78">
      <c r="A102" t="s">
        <v>793</v>
      </c>
      <c r="B102" t="s">
        <v>923</v>
      </c>
      <c r="C102" t="s">
        <v>54</v>
      </c>
      <c r="D102" t="s">
        <v>1</v>
      </c>
      <c r="E102" t="s">
        <v>115</v>
      </c>
      <c r="F102" t="s">
        <v>99</v>
      </c>
      <c r="G102" t="s">
        <v>100</v>
      </c>
      <c r="H102" t="s">
        <v>103</v>
      </c>
      <c r="I102" t="s">
        <v>100</v>
      </c>
      <c r="J102" t="s">
        <v>101</v>
      </c>
      <c r="K102" t="s">
        <v>559</v>
      </c>
      <c r="L102" t="s">
        <v>559</v>
      </c>
      <c r="M102" t="s">
        <v>100</v>
      </c>
      <c r="N102" t="s">
        <v>723</v>
      </c>
      <c r="O102" t="s">
        <v>100</v>
      </c>
      <c r="Q102" t="s">
        <v>723</v>
      </c>
      <c r="R102" t="s">
        <v>119</v>
      </c>
      <c r="S102" t="s">
        <v>130</v>
      </c>
      <c r="T102" t="s">
        <v>120</v>
      </c>
      <c r="U102" t="s">
        <v>101</v>
      </c>
      <c r="V102" t="s">
        <v>121</v>
      </c>
      <c r="W102" t="s">
        <v>122</v>
      </c>
      <c r="X102" t="s">
        <v>123</v>
      </c>
      <c r="Y102">
        <v>1</v>
      </c>
      <c r="Z102" t="s">
        <v>758</v>
      </c>
      <c r="AA102" s="280">
        <v>43336</v>
      </c>
      <c r="AB102" t="s">
        <v>114</v>
      </c>
      <c r="AC102" t="s">
        <v>124</v>
      </c>
      <c r="AD102" s="280">
        <v>44651</v>
      </c>
      <c r="AE102" t="s">
        <v>125</v>
      </c>
      <c r="AF102">
        <v>3</v>
      </c>
      <c r="AG102">
        <v>0</v>
      </c>
      <c r="AH102">
        <v>0</v>
      </c>
      <c r="AI102" t="s">
        <v>126</v>
      </c>
      <c r="AL102">
        <v>1.5</v>
      </c>
      <c r="AN102">
        <v>1.5</v>
      </c>
      <c r="AO102">
        <v>0.5</v>
      </c>
      <c r="AP102" t="s">
        <v>1050</v>
      </c>
      <c r="AR102" t="s">
        <v>127</v>
      </c>
      <c r="AS102">
        <v>28678.44</v>
      </c>
      <c r="AU102">
        <v>0</v>
      </c>
      <c r="AV102">
        <v>0</v>
      </c>
      <c r="AW102">
        <v>0</v>
      </c>
      <c r="AX102">
        <v>28678.44</v>
      </c>
      <c r="AY102">
        <v>1229.0760000000009</v>
      </c>
      <c r="AZ102">
        <v>0</v>
      </c>
      <c r="BC102">
        <v>-27449.363999999998</v>
      </c>
      <c r="BE102" t="s">
        <v>114</v>
      </c>
      <c r="BH102">
        <v>-819.38400000000058</v>
      </c>
      <c r="BI102">
        <v>-68.282000000000053</v>
      </c>
      <c r="BK102" t="s">
        <v>116</v>
      </c>
      <c r="BL102">
        <v>0</v>
      </c>
      <c r="BM102">
        <v>-28268.748</v>
      </c>
      <c r="BR102">
        <v>0</v>
      </c>
      <c r="BS102">
        <v>409.6919999999991</v>
      </c>
      <c r="BW102" t="s">
        <v>167</v>
      </c>
      <c r="BX102" t="s">
        <v>168</v>
      </c>
      <c r="BZ102" t="s">
        <v>1027</v>
      </c>
    </row>
    <row r="103" spans="1:78">
      <c r="A103">
        <v>1074</v>
      </c>
      <c r="B103" t="s">
        <v>920</v>
      </c>
      <c r="C103" t="s">
        <v>54</v>
      </c>
      <c r="D103" t="s">
        <v>1</v>
      </c>
      <c r="E103" t="s">
        <v>115</v>
      </c>
      <c r="F103" t="s">
        <v>99</v>
      </c>
      <c r="G103" t="s">
        <v>100</v>
      </c>
      <c r="H103" t="s">
        <v>103</v>
      </c>
      <c r="I103" t="s">
        <v>100</v>
      </c>
      <c r="J103" t="s">
        <v>101</v>
      </c>
      <c r="K103" t="s">
        <v>559</v>
      </c>
      <c r="L103" t="s">
        <v>559</v>
      </c>
      <c r="M103" t="s">
        <v>100</v>
      </c>
      <c r="N103" t="s">
        <v>727</v>
      </c>
      <c r="O103" t="s">
        <v>100</v>
      </c>
      <c r="Q103" t="s">
        <v>727</v>
      </c>
      <c r="R103" t="s">
        <v>119</v>
      </c>
      <c r="S103" t="s">
        <v>130</v>
      </c>
      <c r="T103" t="s">
        <v>120</v>
      </c>
      <c r="U103" t="s">
        <v>101</v>
      </c>
      <c r="V103" t="s">
        <v>121</v>
      </c>
      <c r="W103" t="s">
        <v>122</v>
      </c>
      <c r="X103" t="s">
        <v>123</v>
      </c>
      <c r="Y103">
        <v>1</v>
      </c>
      <c r="Z103" t="s">
        <v>675</v>
      </c>
      <c r="AA103" s="280">
        <v>43047</v>
      </c>
      <c r="AB103" t="s">
        <v>114</v>
      </c>
      <c r="AC103" t="s">
        <v>124</v>
      </c>
      <c r="AD103" s="280">
        <v>44651</v>
      </c>
      <c r="AE103" t="s">
        <v>125</v>
      </c>
      <c r="AF103">
        <v>3</v>
      </c>
      <c r="AG103">
        <v>0</v>
      </c>
      <c r="AH103">
        <v>0</v>
      </c>
      <c r="AI103" t="s">
        <v>126</v>
      </c>
      <c r="AL103">
        <v>0</v>
      </c>
      <c r="AN103">
        <v>0</v>
      </c>
      <c r="AO103">
        <v>-1</v>
      </c>
      <c r="AP103" t="s">
        <v>1051</v>
      </c>
      <c r="AR103" t="s">
        <v>127</v>
      </c>
      <c r="AS103">
        <v>33058.35</v>
      </c>
      <c r="AU103">
        <v>0</v>
      </c>
      <c r="AW103">
        <v>0</v>
      </c>
      <c r="AX103">
        <v>33058.35</v>
      </c>
      <c r="AY103">
        <v>0</v>
      </c>
      <c r="AZ103">
        <v>0</v>
      </c>
      <c r="BC103">
        <v>-33058.35</v>
      </c>
      <c r="BE103" t="s">
        <v>114</v>
      </c>
      <c r="BH103">
        <v>0</v>
      </c>
      <c r="BI103">
        <v>0</v>
      </c>
      <c r="BK103" t="s">
        <v>116</v>
      </c>
      <c r="BL103">
        <v>0</v>
      </c>
      <c r="BM103">
        <v>-33058.35</v>
      </c>
      <c r="BR103">
        <v>0</v>
      </c>
      <c r="BS103">
        <v>0</v>
      </c>
      <c r="BW103" t="s">
        <v>167</v>
      </c>
      <c r="BX103" t="s">
        <v>168</v>
      </c>
      <c r="BZ103" t="s">
        <v>945</v>
      </c>
    </row>
    <row r="104" spans="1:78">
      <c r="A104">
        <v>1081</v>
      </c>
      <c r="B104" t="s">
        <v>860</v>
      </c>
      <c r="C104" t="s">
        <v>54</v>
      </c>
      <c r="D104" t="s">
        <v>1</v>
      </c>
      <c r="E104" t="s">
        <v>115</v>
      </c>
      <c r="F104" t="s">
        <v>99</v>
      </c>
      <c r="G104" t="s">
        <v>100</v>
      </c>
      <c r="H104" t="s">
        <v>103</v>
      </c>
      <c r="I104" t="s">
        <v>100</v>
      </c>
      <c r="J104" t="s">
        <v>101</v>
      </c>
      <c r="K104" t="s">
        <v>559</v>
      </c>
      <c r="L104" t="s">
        <v>559</v>
      </c>
      <c r="M104" t="s">
        <v>100</v>
      </c>
      <c r="N104" t="s">
        <v>726</v>
      </c>
      <c r="O104" t="s">
        <v>100</v>
      </c>
      <c r="Q104" t="s">
        <v>726</v>
      </c>
      <c r="R104" t="s">
        <v>119</v>
      </c>
      <c r="S104" t="s">
        <v>130</v>
      </c>
      <c r="T104" t="s">
        <v>120</v>
      </c>
      <c r="U104" t="s">
        <v>101</v>
      </c>
      <c r="V104" t="s">
        <v>121</v>
      </c>
      <c r="W104" t="s">
        <v>122</v>
      </c>
      <c r="X104" t="s">
        <v>123</v>
      </c>
      <c r="Y104">
        <v>1</v>
      </c>
      <c r="Z104" t="s">
        <v>675</v>
      </c>
      <c r="AA104" s="280">
        <v>43047</v>
      </c>
      <c r="AB104" t="s">
        <v>114</v>
      </c>
      <c r="AC104" t="s">
        <v>124</v>
      </c>
      <c r="AD104" s="280">
        <v>44651</v>
      </c>
      <c r="AE104" t="s">
        <v>125</v>
      </c>
      <c r="AF104">
        <v>3</v>
      </c>
      <c r="AG104">
        <v>0</v>
      </c>
      <c r="AH104">
        <v>0</v>
      </c>
      <c r="AI104" t="s">
        <v>126</v>
      </c>
      <c r="AL104">
        <v>1.5</v>
      </c>
      <c r="AN104">
        <v>1.5</v>
      </c>
      <c r="AO104">
        <v>0.5</v>
      </c>
      <c r="AP104" t="s">
        <v>1050</v>
      </c>
      <c r="AR104" t="s">
        <v>127</v>
      </c>
      <c r="AS104">
        <v>2229.9</v>
      </c>
      <c r="AU104">
        <v>0</v>
      </c>
      <c r="AV104">
        <v>0</v>
      </c>
      <c r="AW104">
        <v>0</v>
      </c>
      <c r="AX104">
        <v>2229.9</v>
      </c>
      <c r="AY104">
        <v>95.567142857142699</v>
      </c>
      <c r="AZ104">
        <v>0</v>
      </c>
      <c r="BC104">
        <v>-2134.3328571428574</v>
      </c>
      <c r="BE104" t="s">
        <v>114</v>
      </c>
      <c r="BH104">
        <v>-63.711428571428463</v>
      </c>
      <c r="BI104">
        <v>-5.3092857142857053</v>
      </c>
      <c r="BK104" t="s">
        <v>116</v>
      </c>
      <c r="BL104">
        <v>0</v>
      </c>
      <c r="BM104">
        <v>-2198.0442857142857</v>
      </c>
      <c r="BR104">
        <v>0</v>
      </c>
      <c r="BS104">
        <v>31.855714285714384</v>
      </c>
      <c r="BW104" t="s">
        <v>167</v>
      </c>
      <c r="BX104" t="s">
        <v>168</v>
      </c>
      <c r="BZ104" t="s">
        <v>945</v>
      </c>
    </row>
    <row r="105" spans="1:78">
      <c r="A105">
        <v>1065</v>
      </c>
      <c r="B105" t="s">
        <v>877</v>
      </c>
      <c r="C105" t="s">
        <v>54</v>
      </c>
      <c r="D105" t="s">
        <v>1</v>
      </c>
      <c r="E105" t="s">
        <v>115</v>
      </c>
      <c r="F105" t="s">
        <v>99</v>
      </c>
      <c r="G105" t="s">
        <v>100</v>
      </c>
      <c r="H105" t="s">
        <v>103</v>
      </c>
      <c r="I105" t="s">
        <v>100</v>
      </c>
      <c r="J105" t="s">
        <v>101</v>
      </c>
      <c r="K105" t="s">
        <v>559</v>
      </c>
      <c r="L105" t="s">
        <v>559</v>
      </c>
      <c r="M105" t="s">
        <v>100</v>
      </c>
      <c r="N105" t="s">
        <v>725</v>
      </c>
      <c r="O105" t="s">
        <v>100</v>
      </c>
      <c r="Q105" t="s">
        <v>725</v>
      </c>
      <c r="R105" t="s">
        <v>119</v>
      </c>
      <c r="S105" t="s">
        <v>130</v>
      </c>
      <c r="T105" t="s">
        <v>120</v>
      </c>
      <c r="U105" t="s">
        <v>101</v>
      </c>
      <c r="V105" t="s">
        <v>121</v>
      </c>
      <c r="W105" t="s">
        <v>122</v>
      </c>
      <c r="X105" t="s">
        <v>123</v>
      </c>
      <c r="Y105">
        <v>1</v>
      </c>
      <c r="Z105" t="s">
        <v>757</v>
      </c>
      <c r="AA105" s="280">
        <v>43014</v>
      </c>
      <c r="AB105" t="s">
        <v>114</v>
      </c>
      <c r="AC105" t="s">
        <v>124</v>
      </c>
      <c r="AD105" s="280">
        <v>44651</v>
      </c>
      <c r="AE105" t="s">
        <v>125</v>
      </c>
      <c r="AF105">
        <v>3</v>
      </c>
      <c r="AG105">
        <v>0</v>
      </c>
      <c r="AH105">
        <v>0</v>
      </c>
      <c r="AI105" t="s">
        <v>126</v>
      </c>
      <c r="AL105">
        <v>1.5</v>
      </c>
      <c r="AN105">
        <v>1.5</v>
      </c>
      <c r="AO105">
        <v>0.5</v>
      </c>
      <c r="AP105" t="s">
        <v>1050</v>
      </c>
      <c r="AR105" t="s">
        <v>127</v>
      </c>
      <c r="AS105">
        <v>1537.46</v>
      </c>
      <c r="AU105">
        <v>0</v>
      </c>
      <c r="AV105">
        <v>0</v>
      </c>
      <c r="AW105">
        <v>0</v>
      </c>
      <c r="AX105">
        <v>1537.46</v>
      </c>
      <c r="AY105">
        <v>65.891142857142768</v>
      </c>
      <c r="AZ105">
        <v>0</v>
      </c>
      <c r="BC105">
        <v>-1471.5688571428573</v>
      </c>
      <c r="BE105" t="s">
        <v>114</v>
      </c>
      <c r="BH105">
        <v>-43.927428571428514</v>
      </c>
      <c r="BI105">
        <v>-3.660619047619043</v>
      </c>
      <c r="BK105" t="s">
        <v>116</v>
      </c>
      <c r="BL105">
        <v>0</v>
      </c>
      <c r="BM105">
        <v>-1515.4962857142857</v>
      </c>
      <c r="BR105">
        <v>0</v>
      </c>
      <c r="BS105">
        <v>21.963714285714332</v>
      </c>
      <c r="BW105" t="s">
        <v>167</v>
      </c>
      <c r="BX105" t="s">
        <v>168</v>
      </c>
      <c r="BZ105" t="s">
        <v>969</v>
      </c>
    </row>
    <row r="106" spans="1:78">
      <c r="A106">
        <v>1066</v>
      </c>
      <c r="B106" t="s">
        <v>918</v>
      </c>
      <c r="C106" t="s">
        <v>54</v>
      </c>
      <c r="D106" t="s">
        <v>1</v>
      </c>
      <c r="E106" t="s">
        <v>115</v>
      </c>
      <c r="F106" t="s">
        <v>99</v>
      </c>
      <c r="G106" t="s">
        <v>100</v>
      </c>
      <c r="H106" t="s">
        <v>103</v>
      </c>
      <c r="I106" t="s">
        <v>100</v>
      </c>
      <c r="J106" t="s">
        <v>101</v>
      </c>
      <c r="K106" t="s">
        <v>559</v>
      </c>
      <c r="L106" t="s">
        <v>559</v>
      </c>
      <c r="M106" t="s">
        <v>100</v>
      </c>
      <c r="N106" t="s">
        <v>724</v>
      </c>
      <c r="O106" t="s">
        <v>100</v>
      </c>
      <c r="Q106" t="s">
        <v>724</v>
      </c>
      <c r="R106" t="s">
        <v>119</v>
      </c>
      <c r="S106" t="s">
        <v>130</v>
      </c>
      <c r="T106" t="s">
        <v>120</v>
      </c>
      <c r="U106" t="s">
        <v>101</v>
      </c>
      <c r="V106" t="s">
        <v>121</v>
      </c>
      <c r="W106" t="s">
        <v>122</v>
      </c>
      <c r="X106" t="s">
        <v>123</v>
      </c>
      <c r="Y106">
        <v>1</v>
      </c>
      <c r="Z106" t="s">
        <v>757</v>
      </c>
      <c r="AA106" s="280">
        <v>43014</v>
      </c>
      <c r="AB106" t="s">
        <v>114</v>
      </c>
      <c r="AC106" t="s">
        <v>124</v>
      </c>
      <c r="AD106" s="280">
        <v>44651</v>
      </c>
      <c r="AE106" t="s">
        <v>125</v>
      </c>
      <c r="AF106">
        <v>3</v>
      </c>
      <c r="AG106">
        <v>0</v>
      </c>
      <c r="AH106">
        <v>0</v>
      </c>
      <c r="AI106" t="s">
        <v>126</v>
      </c>
      <c r="AL106">
        <v>1.5</v>
      </c>
      <c r="AN106">
        <v>1.5</v>
      </c>
      <c r="AO106">
        <v>0.5</v>
      </c>
      <c r="AP106" t="s">
        <v>1050</v>
      </c>
      <c r="AR106" t="s">
        <v>127</v>
      </c>
      <c r="AS106">
        <v>14618.96</v>
      </c>
      <c r="AU106">
        <v>0</v>
      </c>
      <c r="AV106">
        <v>0</v>
      </c>
      <c r="AW106">
        <v>0</v>
      </c>
      <c r="AX106">
        <v>14618.96</v>
      </c>
      <c r="AY106">
        <v>626.5268571428569</v>
      </c>
      <c r="AZ106">
        <v>0</v>
      </c>
      <c r="BC106">
        <v>-13992.433142857142</v>
      </c>
      <c r="BE106" t="s">
        <v>114</v>
      </c>
      <c r="BH106">
        <v>-417.68457142857125</v>
      </c>
      <c r="BI106">
        <v>-34.807047619047601</v>
      </c>
      <c r="BK106" t="s">
        <v>116</v>
      </c>
      <c r="BL106">
        <v>0</v>
      </c>
      <c r="BM106">
        <v>-14410.117714285714</v>
      </c>
      <c r="BR106">
        <v>0</v>
      </c>
      <c r="BS106">
        <v>208.84228571428503</v>
      </c>
      <c r="BW106" t="s">
        <v>167</v>
      </c>
      <c r="BX106" t="s">
        <v>168</v>
      </c>
      <c r="BZ106" t="s">
        <v>1023</v>
      </c>
    </row>
    <row r="107" spans="1:78">
      <c r="A107">
        <v>1502</v>
      </c>
      <c r="B107" t="s">
        <v>882</v>
      </c>
      <c r="C107" t="s">
        <v>54</v>
      </c>
      <c r="D107" t="s">
        <v>1</v>
      </c>
      <c r="E107" t="s">
        <v>115</v>
      </c>
      <c r="F107" t="s">
        <v>99</v>
      </c>
      <c r="G107" t="s">
        <v>100</v>
      </c>
      <c r="H107" t="s">
        <v>103</v>
      </c>
      <c r="I107" t="s">
        <v>100</v>
      </c>
      <c r="J107" t="s">
        <v>101</v>
      </c>
      <c r="K107" t="s">
        <v>559</v>
      </c>
      <c r="L107" t="s">
        <v>559</v>
      </c>
      <c r="M107" t="s">
        <v>100</v>
      </c>
      <c r="N107" t="s">
        <v>723</v>
      </c>
      <c r="O107" t="s">
        <v>100</v>
      </c>
      <c r="Q107" t="s">
        <v>800</v>
      </c>
      <c r="R107" t="s">
        <v>119</v>
      </c>
      <c r="S107" t="s">
        <v>130</v>
      </c>
      <c r="T107" t="s">
        <v>120</v>
      </c>
      <c r="U107" t="s">
        <v>101</v>
      </c>
      <c r="V107" t="s">
        <v>121</v>
      </c>
      <c r="W107" t="s">
        <v>122</v>
      </c>
      <c r="X107" t="s">
        <v>123</v>
      </c>
      <c r="Y107">
        <v>1</v>
      </c>
      <c r="Z107" t="s">
        <v>756</v>
      </c>
      <c r="AA107" s="280">
        <v>42878</v>
      </c>
      <c r="AB107" t="s">
        <v>114</v>
      </c>
      <c r="AC107" t="s">
        <v>124</v>
      </c>
      <c r="AD107" s="280">
        <v>44651</v>
      </c>
      <c r="AE107" t="s">
        <v>125</v>
      </c>
      <c r="AF107">
        <v>3</v>
      </c>
      <c r="AG107">
        <v>0</v>
      </c>
      <c r="AH107">
        <v>0</v>
      </c>
      <c r="AI107" t="s">
        <v>126</v>
      </c>
      <c r="AL107">
        <v>1.5</v>
      </c>
      <c r="AN107">
        <v>1.5</v>
      </c>
      <c r="AO107">
        <v>0.5</v>
      </c>
      <c r="AP107" t="s">
        <v>1050</v>
      </c>
      <c r="AR107" t="s">
        <v>127</v>
      </c>
      <c r="AS107">
        <v>34411.089999999997</v>
      </c>
      <c r="AU107">
        <v>0</v>
      </c>
      <c r="AV107">
        <v>0</v>
      </c>
      <c r="AW107">
        <v>0</v>
      </c>
      <c r="AX107">
        <v>34411.089999999997</v>
      </c>
      <c r="AY107">
        <v>1474.7609999999986</v>
      </c>
      <c r="AZ107">
        <v>0</v>
      </c>
      <c r="BC107">
        <v>-32936.328999999998</v>
      </c>
      <c r="BE107" t="s">
        <v>114</v>
      </c>
      <c r="BH107">
        <v>-983.17399999999907</v>
      </c>
      <c r="BI107">
        <v>-81.931166666666584</v>
      </c>
      <c r="BK107" t="s">
        <v>116</v>
      </c>
      <c r="BL107">
        <v>0</v>
      </c>
      <c r="BM107">
        <v>-33919.502999999997</v>
      </c>
      <c r="BR107">
        <v>0</v>
      </c>
      <c r="BS107">
        <v>491.58699999999953</v>
      </c>
      <c r="BW107" t="s">
        <v>167</v>
      </c>
      <c r="BX107" t="s">
        <v>168</v>
      </c>
      <c r="BZ107" t="s">
        <v>971</v>
      </c>
    </row>
    <row r="108" spans="1:78">
      <c r="A108">
        <v>1036</v>
      </c>
      <c r="B108" t="s">
        <v>921</v>
      </c>
      <c r="C108" t="s">
        <v>54</v>
      </c>
      <c r="D108" t="s">
        <v>1</v>
      </c>
      <c r="E108" t="s">
        <v>115</v>
      </c>
      <c r="F108" t="s">
        <v>99</v>
      </c>
      <c r="G108" t="s">
        <v>100</v>
      </c>
      <c r="H108" t="s">
        <v>103</v>
      </c>
      <c r="I108" t="s">
        <v>100</v>
      </c>
      <c r="J108" t="s">
        <v>101</v>
      </c>
      <c r="K108" t="s">
        <v>559</v>
      </c>
      <c r="L108" t="s">
        <v>559</v>
      </c>
      <c r="M108" t="s">
        <v>100</v>
      </c>
      <c r="N108" t="s">
        <v>722</v>
      </c>
      <c r="O108" t="s">
        <v>100</v>
      </c>
      <c r="Q108" t="s">
        <v>722</v>
      </c>
      <c r="R108" t="s">
        <v>119</v>
      </c>
      <c r="S108" t="s">
        <v>130</v>
      </c>
      <c r="T108" t="s">
        <v>120</v>
      </c>
      <c r="U108" t="s">
        <v>101</v>
      </c>
      <c r="V108" t="s">
        <v>121</v>
      </c>
      <c r="W108" t="s">
        <v>122</v>
      </c>
      <c r="X108" t="s">
        <v>123</v>
      </c>
      <c r="Y108">
        <v>1</v>
      </c>
      <c r="Z108" t="s">
        <v>755</v>
      </c>
      <c r="AA108" s="280">
        <v>42719</v>
      </c>
      <c r="AB108" t="s">
        <v>114</v>
      </c>
      <c r="AC108" t="s">
        <v>124</v>
      </c>
      <c r="AD108" s="280">
        <v>44651</v>
      </c>
      <c r="AE108" t="s">
        <v>125</v>
      </c>
      <c r="AF108">
        <v>3</v>
      </c>
      <c r="AG108">
        <v>0</v>
      </c>
      <c r="AH108">
        <v>0</v>
      </c>
      <c r="AI108" t="s">
        <v>126</v>
      </c>
      <c r="AL108">
        <v>1.5</v>
      </c>
      <c r="AN108">
        <v>1.5</v>
      </c>
      <c r="AO108">
        <v>0.5</v>
      </c>
      <c r="AP108" t="s">
        <v>1053</v>
      </c>
      <c r="AR108" t="s">
        <v>127</v>
      </c>
      <c r="AS108">
        <v>9168.57</v>
      </c>
      <c r="AU108">
        <v>0</v>
      </c>
      <c r="AV108">
        <v>0</v>
      </c>
      <c r="AW108">
        <v>0</v>
      </c>
      <c r="AX108">
        <v>9168.57</v>
      </c>
      <c r="AY108">
        <v>392.93871428571401</v>
      </c>
      <c r="AZ108">
        <v>0</v>
      </c>
      <c r="BC108">
        <v>-8775.6312857142857</v>
      </c>
      <c r="BE108" t="s">
        <v>114</v>
      </c>
      <c r="BH108">
        <v>-261.95914285714269</v>
      </c>
      <c r="BI108">
        <v>-21.829928571428557</v>
      </c>
      <c r="BK108" t="s">
        <v>116</v>
      </c>
      <c r="BL108">
        <v>0</v>
      </c>
      <c r="BM108">
        <v>-9037.5904285714278</v>
      </c>
      <c r="BR108">
        <v>0</v>
      </c>
      <c r="BS108">
        <v>130.97957142857194</v>
      </c>
      <c r="BW108" t="s">
        <v>167</v>
      </c>
      <c r="BX108" t="s">
        <v>168</v>
      </c>
      <c r="BZ108" t="s">
        <v>1023</v>
      </c>
    </row>
    <row r="109" spans="1:78">
      <c r="A109" t="s">
        <v>691</v>
      </c>
      <c r="B109" t="s">
        <v>922</v>
      </c>
      <c r="C109" t="s">
        <v>54</v>
      </c>
      <c r="D109" t="s">
        <v>1</v>
      </c>
      <c r="E109" t="s">
        <v>115</v>
      </c>
      <c r="F109" t="s">
        <v>99</v>
      </c>
      <c r="G109" t="s">
        <v>100</v>
      </c>
      <c r="H109" t="s">
        <v>103</v>
      </c>
      <c r="I109" t="s">
        <v>100</v>
      </c>
      <c r="J109" t="s">
        <v>101</v>
      </c>
      <c r="K109" t="s">
        <v>559</v>
      </c>
      <c r="L109" t="s">
        <v>559</v>
      </c>
      <c r="M109" t="s">
        <v>100</v>
      </c>
      <c r="N109" t="s">
        <v>721</v>
      </c>
      <c r="O109" t="s">
        <v>100</v>
      </c>
      <c r="Q109" t="s">
        <v>721</v>
      </c>
      <c r="R109" t="s">
        <v>119</v>
      </c>
      <c r="S109" t="s">
        <v>130</v>
      </c>
      <c r="T109" t="s">
        <v>120</v>
      </c>
      <c r="U109" t="s">
        <v>101</v>
      </c>
      <c r="V109" t="s">
        <v>121</v>
      </c>
      <c r="W109" t="s">
        <v>122</v>
      </c>
      <c r="X109" t="s">
        <v>123</v>
      </c>
      <c r="Y109">
        <v>1</v>
      </c>
      <c r="Z109" t="s">
        <v>755</v>
      </c>
      <c r="AA109" s="280">
        <v>42719</v>
      </c>
      <c r="AB109" t="s">
        <v>114</v>
      </c>
      <c r="AC109" t="s">
        <v>124</v>
      </c>
      <c r="AD109" s="280">
        <v>44651</v>
      </c>
      <c r="AE109" t="s">
        <v>125</v>
      </c>
      <c r="AF109">
        <v>3</v>
      </c>
      <c r="AG109">
        <v>0</v>
      </c>
      <c r="AH109">
        <v>0</v>
      </c>
      <c r="AI109" t="s">
        <v>126</v>
      </c>
      <c r="AL109">
        <v>1.5</v>
      </c>
      <c r="AN109">
        <v>1.5</v>
      </c>
      <c r="AO109">
        <v>0.5</v>
      </c>
      <c r="AP109" t="s">
        <v>1050</v>
      </c>
      <c r="AR109" t="s">
        <v>127</v>
      </c>
      <c r="AS109">
        <v>150799.29999999999</v>
      </c>
      <c r="AU109">
        <v>0</v>
      </c>
      <c r="AV109">
        <v>0</v>
      </c>
      <c r="AW109">
        <v>0</v>
      </c>
      <c r="AX109">
        <v>150799.29999999999</v>
      </c>
      <c r="AY109">
        <v>6462.8271428571315</v>
      </c>
      <c r="AZ109">
        <v>0</v>
      </c>
      <c r="BC109">
        <v>-144336.47285714286</v>
      </c>
      <c r="BE109" t="s">
        <v>114</v>
      </c>
      <c r="BH109">
        <v>-4308.5514285714207</v>
      </c>
      <c r="BI109">
        <v>-359.04595238095175</v>
      </c>
      <c r="BK109" t="s">
        <v>116</v>
      </c>
      <c r="BL109">
        <v>0</v>
      </c>
      <c r="BM109">
        <v>-148645.02428571429</v>
      </c>
      <c r="BR109">
        <v>0</v>
      </c>
      <c r="BS109">
        <v>2154.2757142857008</v>
      </c>
      <c r="BW109" t="s">
        <v>167</v>
      </c>
      <c r="BX109" t="s">
        <v>168</v>
      </c>
      <c r="BZ109" t="s">
        <v>983</v>
      </c>
    </row>
    <row r="110" spans="1:78">
      <c r="A110" t="s">
        <v>690</v>
      </c>
      <c r="B110">
        <v>17</v>
      </c>
      <c r="C110" t="s">
        <v>54</v>
      </c>
      <c r="D110" t="s">
        <v>1</v>
      </c>
      <c r="E110" t="s">
        <v>115</v>
      </c>
      <c r="F110" t="s">
        <v>99</v>
      </c>
      <c r="G110" t="s">
        <v>100</v>
      </c>
      <c r="H110" t="s">
        <v>103</v>
      </c>
      <c r="I110" t="s">
        <v>100</v>
      </c>
      <c r="J110" t="s">
        <v>101</v>
      </c>
      <c r="K110" t="s">
        <v>559</v>
      </c>
      <c r="L110" t="s">
        <v>559</v>
      </c>
      <c r="M110" t="s">
        <v>100</v>
      </c>
      <c r="N110" t="s">
        <v>720</v>
      </c>
      <c r="O110" t="s">
        <v>100</v>
      </c>
      <c r="Q110" t="s">
        <v>720</v>
      </c>
      <c r="R110" t="s">
        <v>119</v>
      </c>
      <c r="S110" t="s">
        <v>130</v>
      </c>
      <c r="T110" t="s">
        <v>120</v>
      </c>
      <c r="U110" t="s">
        <v>101</v>
      </c>
      <c r="V110" t="s">
        <v>121</v>
      </c>
      <c r="W110" t="s">
        <v>122</v>
      </c>
      <c r="X110" t="s">
        <v>123</v>
      </c>
      <c r="Y110">
        <v>1</v>
      </c>
      <c r="Z110" t="s">
        <v>755</v>
      </c>
      <c r="AA110" s="280">
        <v>42719</v>
      </c>
      <c r="AB110" t="s">
        <v>114</v>
      </c>
      <c r="AC110" t="s">
        <v>124</v>
      </c>
      <c r="AD110" s="280">
        <v>44651</v>
      </c>
      <c r="AE110" t="s">
        <v>125</v>
      </c>
      <c r="AF110">
        <v>3</v>
      </c>
      <c r="AG110">
        <v>0</v>
      </c>
      <c r="AH110">
        <v>0</v>
      </c>
      <c r="AI110" t="s">
        <v>126</v>
      </c>
      <c r="AL110">
        <v>1.5</v>
      </c>
      <c r="AN110">
        <v>1.5</v>
      </c>
      <c r="AO110">
        <v>0.5</v>
      </c>
      <c r="AP110" t="s">
        <v>1050</v>
      </c>
      <c r="AR110" t="s">
        <v>127</v>
      </c>
      <c r="AS110">
        <v>166739.76</v>
      </c>
      <c r="AU110">
        <v>0</v>
      </c>
      <c r="AV110">
        <v>0</v>
      </c>
      <c r="AW110">
        <v>0</v>
      </c>
      <c r="AX110">
        <v>166739.76</v>
      </c>
      <c r="AY110">
        <v>7145.989714285708</v>
      </c>
      <c r="AZ110">
        <v>0</v>
      </c>
      <c r="BC110">
        <v>-159593.7702857143</v>
      </c>
      <c r="BE110" t="s">
        <v>114</v>
      </c>
      <c r="BH110">
        <v>-4763.993142857139</v>
      </c>
      <c r="BI110">
        <v>-396.99942857142827</v>
      </c>
      <c r="BK110" t="s">
        <v>116</v>
      </c>
      <c r="BL110">
        <v>0</v>
      </c>
      <c r="BM110">
        <v>-164357.76342857143</v>
      </c>
      <c r="BR110">
        <v>0</v>
      </c>
      <c r="BS110">
        <v>2381.996571428579</v>
      </c>
      <c r="BW110" t="s">
        <v>167</v>
      </c>
      <c r="BX110" t="s">
        <v>168</v>
      </c>
      <c r="BZ110" t="s">
        <v>945</v>
      </c>
    </row>
    <row r="111" spans="1:78">
      <c r="A111" t="s">
        <v>689</v>
      </c>
      <c r="B111" t="s">
        <v>921</v>
      </c>
      <c r="C111" t="s">
        <v>54</v>
      </c>
      <c r="D111" t="s">
        <v>1</v>
      </c>
      <c r="E111" t="s">
        <v>115</v>
      </c>
      <c r="F111" t="s">
        <v>99</v>
      </c>
      <c r="G111" t="s">
        <v>100</v>
      </c>
      <c r="H111" t="s">
        <v>103</v>
      </c>
      <c r="I111" t="s">
        <v>100</v>
      </c>
      <c r="J111" t="s">
        <v>101</v>
      </c>
      <c r="K111" t="s">
        <v>559</v>
      </c>
      <c r="L111" t="s">
        <v>559</v>
      </c>
      <c r="M111" t="s">
        <v>100</v>
      </c>
      <c r="N111" t="s">
        <v>719</v>
      </c>
      <c r="O111" t="s">
        <v>100</v>
      </c>
      <c r="Q111" t="s">
        <v>719</v>
      </c>
      <c r="R111" t="s">
        <v>119</v>
      </c>
      <c r="S111" t="s">
        <v>130</v>
      </c>
      <c r="T111" t="s">
        <v>120</v>
      </c>
      <c r="U111" t="s">
        <v>101</v>
      </c>
      <c r="V111" t="s">
        <v>121</v>
      </c>
      <c r="W111" t="s">
        <v>122</v>
      </c>
      <c r="X111" t="s">
        <v>123</v>
      </c>
      <c r="Y111">
        <v>1</v>
      </c>
      <c r="Z111" t="s">
        <v>754</v>
      </c>
      <c r="AA111" s="280">
        <v>42615</v>
      </c>
      <c r="AB111" t="s">
        <v>114</v>
      </c>
      <c r="AC111" t="s">
        <v>124</v>
      </c>
      <c r="AD111" s="280">
        <v>44651</v>
      </c>
      <c r="AE111" t="s">
        <v>125</v>
      </c>
      <c r="AF111">
        <v>3</v>
      </c>
      <c r="AG111">
        <v>0</v>
      </c>
      <c r="AH111">
        <v>0</v>
      </c>
      <c r="AI111" t="s">
        <v>126</v>
      </c>
      <c r="AL111">
        <v>1.5</v>
      </c>
      <c r="AN111">
        <v>1.5</v>
      </c>
      <c r="AO111">
        <v>0.5</v>
      </c>
      <c r="AP111" t="s">
        <v>1050</v>
      </c>
      <c r="AR111" t="s">
        <v>127</v>
      </c>
      <c r="AS111">
        <v>132456.48000000001</v>
      </c>
      <c r="AU111">
        <v>0</v>
      </c>
      <c r="AV111">
        <v>0</v>
      </c>
      <c r="AW111">
        <v>0</v>
      </c>
      <c r="AX111">
        <v>132456.48000000001</v>
      </c>
      <c r="AY111">
        <v>5676.7062857142882</v>
      </c>
      <c r="AZ111">
        <v>0</v>
      </c>
      <c r="BC111">
        <v>-126779.77371428572</v>
      </c>
      <c r="BE111" t="s">
        <v>114</v>
      </c>
      <c r="BH111">
        <v>-3784.4708571428587</v>
      </c>
      <c r="BI111">
        <v>-315.37257142857158</v>
      </c>
      <c r="BK111" t="s">
        <v>116</v>
      </c>
      <c r="BL111">
        <v>0</v>
      </c>
      <c r="BM111">
        <v>-130564.24457142859</v>
      </c>
      <c r="BR111">
        <v>0</v>
      </c>
      <c r="BS111">
        <v>1892.2354285714246</v>
      </c>
      <c r="BW111" t="s">
        <v>167</v>
      </c>
      <c r="BX111" t="s">
        <v>168</v>
      </c>
      <c r="BZ111" t="s">
        <v>1023</v>
      </c>
    </row>
    <row r="112" spans="1:78">
      <c r="A112" t="s">
        <v>688</v>
      </c>
      <c r="B112" t="s">
        <v>867</v>
      </c>
      <c r="C112" t="s">
        <v>54</v>
      </c>
      <c r="D112" t="s">
        <v>1</v>
      </c>
      <c r="E112" t="s">
        <v>115</v>
      </c>
      <c r="F112" t="s">
        <v>99</v>
      </c>
      <c r="G112" t="s">
        <v>100</v>
      </c>
      <c r="H112" t="s">
        <v>103</v>
      </c>
      <c r="I112" t="s">
        <v>100</v>
      </c>
      <c r="J112" t="s">
        <v>101</v>
      </c>
      <c r="K112" t="s">
        <v>559</v>
      </c>
      <c r="L112" t="s">
        <v>559</v>
      </c>
      <c r="M112" t="s">
        <v>100</v>
      </c>
      <c r="N112" t="s">
        <v>718</v>
      </c>
      <c r="O112" t="s">
        <v>100</v>
      </c>
      <c r="Q112" t="s">
        <v>718</v>
      </c>
      <c r="R112" t="s">
        <v>119</v>
      </c>
      <c r="S112" t="s">
        <v>130</v>
      </c>
      <c r="T112" t="s">
        <v>120</v>
      </c>
      <c r="U112" t="s">
        <v>101</v>
      </c>
      <c r="V112" t="s">
        <v>121</v>
      </c>
      <c r="W112" t="s">
        <v>122</v>
      </c>
      <c r="X112" t="s">
        <v>123</v>
      </c>
      <c r="Y112">
        <v>1</v>
      </c>
      <c r="Z112" t="s">
        <v>753</v>
      </c>
      <c r="AA112" s="280">
        <v>42235</v>
      </c>
      <c r="AB112" t="s">
        <v>114</v>
      </c>
      <c r="AC112" t="s">
        <v>124</v>
      </c>
      <c r="AD112" s="280">
        <v>44651</v>
      </c>
      <c r="AE112" t="s">
        <v>125</v>
      </c>
      <c r="AF112">
        <v>3</v>
      </c>
      <c r="AG112">
        <v>0</v>
      </c>
      <c r="AH112">
        <v>0</v>
      </c>
      <c r="AI112" t="s">
        <v>126</v>
      </c>
      <c r="AL112">
        <v>1.5</v>
      </c>
      <c r="AN112">
        <v>1.5</v>
      </c>
      <c r="AO112">
        <v>0.5</v>
      </c>
      <c r="AP112" t="s">
        <v>1050</v>
      </c>
      <c r="AR112" t="s">
        <v>127</v>
      </c>
      <c r="AS112">
        <v>19699</v>
      </c>
      <c r="AU112">
        <v>0</v>
      </c>
      <c r="AV112">
        <v>0</v>
      </c>
      <c r="AW112">
        <v>0</v>
      </c>
      <c r="AX112">
        <v>19699</v>
      </c>
      <c r="AY112">
        <v>844.24285714285725</v>
      </c>
      <c r="AZ112">
        <v>0</v>
      </c>
      <c r="BC112">
        <v>-18854.757142857143</v>
      </c>
      <c r="BE112" t="s">
        <v>114</v>
      </c>
      <c r="BH112">
        <v>-562.82857142857154</v>
      </c>
      <c r="BI112">
        <v>-46.902380952380959</v>
      </c>
      <c r="BK112" t="s">
        <v>116</v>
      </c>
      <c r="BL112">
        <v>0</v>
      </c>
      <c r="BM112">
        <v>-19417.585714285713</v>
      </c>
      <c r="BR112">
        <v>0</v>
      </c>
      <c r="BS112">
        <v>281.41428571428696</v>
      </c>
      <c r="BW112" t="s">
        <v>167</v>
      </c>
      <c r="BX112" t="s">
        <v>168</v>
      </c>
      <c r="BZ112" t="s">
        <v>1026</v>
      </c>
    </row>
    <row r="113" spans="1:78">
      <c r="A113" t="s">
        <v>687</v>
      </c>
      <c r="B113" t="s">
        <v>921</v>
      </c>
      <c r="C113" t="s">
        <v>54</v>
      </c>
      <c r="D113" t="s">
        <v>1</v>
      </c>
      <c r="E113" t="s">
        <v>115</v>
      </c>
      <c r="F113" t="s">
        <v>99</v>
      </c>
      <c r="G113" t="s">
        <v>100</v>
      </c>
      <c r="H113" t="s">
        <v>103</v>
      </c>
      <c r="I113" t="s">
        <v>100</v>
      </c>
      <c r="J113" t="s">
        <v>101</v>
      </c>
      <c r="K113" t="s">
        <v>559</v>
      </c>
      <c r="L113" t="s">
        <v>559</v>
      </c>
      <c r="M113" t="s">
        <v>100</v>
      </c>
      <c r="N113" t="s">
        <v>717</v>
      </c>
      <c r="O113" t="s">
        <v>100</v>
      </c>
      <c r="Q113" t="s">
        <v>717</v>
      </c>
      <c r="R113" t="s">
        <v>119</v>
      </c>
      <c r="S113" t="s">
        <v>130</v>
      </c>
      <c r="T113" t="s">
        <v>120</v>
      </c>
      <c r="U113" t="s">
        <v>101</v>
      </c>
      <c r="V113" t="s">
        <v>121</v>
      </c>
      <c r="W113" t="s">
        <v>122</v>
      </c>
      <c r="X113" t="s">
        <v>123</v>
      </c>
      <c r="Y113">
        <v>1</v>
      </c>
      <c r="Z113" t="s">
        <v>752</v>
      </c>
      <c r="AA113" s="280">
        <v>41983</v>
      </c>
      <c r="AB113" t="s">
        <v>114</v>
      </c>
      <c r="AC113" t="s">
        <v>124</v>
      </c>
      <c r="AD113" s="280">
        <v>44651</v>
      </c>
      <c r="AE113" t="s">
        <v>125</v>
      </c>
      <c r="AF113">
        <v>3</v>
      </c>
      <c r="AG113">
        <v>0</v>
      </c>
      <c r="AH113">
        <v>0</v>
      </c>
      <c r="AI113" t="s">
        <v>126</v>
      </c>
      <c r="AL113">
        <v>1.5</v>
      </c>
      <c r="AN113">
        <v>1.5</v>
      </c>
      <c r="AO113">
        <v>0.5</v>
      </c>
      <c r="AP113" t="s">
        <v>1050</v>
      </c>
      <c r="AR113" t="s">
        <v>127</v>
      </c>
      <c r="AS113">
        <v>8055</v>
      </c>
      <c r="AU113">
        <v>0</v>
      </c>
      <c r="AV113">
        <v>0</v>
      </c>
      <c r="AW113">
        <v>0</v>
      </c>
      <c r="AX113">
        <v>8055</v>
      </c>
      <c r="AY113">
        <v>345.21428571428623</v>
      </c>
      <c r="AZ113">
        <v>0</v>
      </c>
      <c r="BC113">
        <v>-7709.7857142857138</v>
      </c>
      <c r="BE113" t="s">
        <v>114</v>
      </c>
      <c r="BH113">
        <v>-230.14285714285748</v>
      </c>
      <c r="BI113">
        <v>-19.178571428571455</v>
      </c>
      <c r="BK113" t="s">
        <v>116</v>
      </c>
      <c r="BL113">
        <v>0</v>
      </c>
      <c r="BM113">
        <v>-7939.9285714285716</v>
      </c>
      <c r="BR113">
        <v>0</v>
      </c>
      <c r="BS113">
        <v>115.07142857142844</v>
      </c>
      <c r="BW113" t="s">
        <v>167</v>
      </c>
      <c r="BX113" t="s">
        <v>168</v>
      </c>
      <c r="BZ113" t="s">
        <v>1023</v>
      </c>
    </row>
    <row r="114" spans="1:78">
      <c r="A114" t="s">
        <v>686</v>
      </c>
      <c r="B114" t="s">
        <v>919</v>
      </c>
      <c r="C114" t="s">
        <v>54</v>
      </c>
      <c r="D114" t="s">
        <v>1</v>
      </c>
      <c r="E114" t="s">
        <v>115</v>
      </c>
      <c r="F114" t="s">
        <v>99</v>
      </c>
      <c r="G114" t="s">
        <v>100</v>
      </c>
      <c r="H114" t="s">
        <v>103</v>
      </c>
      <c r="I114" t="s">
        <v>100</v>
      </c>
      <c r="J114" t="s">
        <v>101</v>
      </c>
      <c r="K114" t="s">
        <v>559</v>
      </c>
      <c r="L114" t="s">
        <v>559</v>
      </c>
      <c r="M114" t="s">
        <v>100</v>
      </c>
      <c r="N114" t="s">
        <v>716</v>
      </c>
      <c r="O114" t="s">
        <v>100</v>
      </c>
      <c r="Q114" t="s">
        <v>716</v>
      </c>
      <c r="R114" t="s">
        <v>119</v>
      </c>
      <c r="S114" t="s">
        <v>130</v>
      </c>
      <c r="T114" t="s">
        <v>120</v>
      </c>
      <c r="U114" t="s">
        <v>101</v>
      </c>
      <c r="V114" t="s">
        <v>121</v>
      </c>
      <c r="W114" t="s">
        <v>122</v>
      </c>
      <c r="X114" t="s">
        <v>123</v>
      </c>
      <c r="Y114">
        <v>1</v>
      </c>
      <c r="Z114" t="s">
        <v>751</v>
      </c>
      <c r="AA114" s="280">
        <v>41941</v>
      </c>
      <c r="AB114" t="s">
        <v>114</v>
      </c>
      <c r="AC114" t="s">
        <v>124</v>
      </c>
      <c r="AD114" s="280">
        <v>44651</v>
      </c>
      <c r="AE114" t="s">
        <v>125</v>
      </c>
      <c r="AF114">
        <v>3</v>
      </c>
      <c r="AG114">
        <v>0</v>
      </c>
      <c r="AH114">
        <v>0</v>
      </c>
      <c r="AI114" t="s">
        <v>126</v>
      </c>
      <c r="AL114">
        <v>1.5</v>
      </c>
      <c r="AN114">
        <v>1.5</v>
      </c>
      <c r="AO114">
        <v>0.5</v>
      </c>
      <c r="AP114" t="s">
        <v>1050</v>
      </c>
      <c r="AR114" t="s">
        <v>127</v>
      </c>
      <c r="AS114">
        <v>32985.99</v>
      </c>
      <c r="AU114">
        <v>0</v>
      </c>
      <c r="AV114">
        <v>0</v>
      </c>
      <c r="AW114">
        <v>0</v>
      </c>
      <c r="AX114">
        <v>32985.99</v>
      </c>
      <c r="AY114">
        <v>1413.6852857142876</v>
      </c>
      <c r="AZ114">
        <v>0</v>
      </c>
      <c r="BC114">
        <v>-31572.30471428571</v>
      </c>
      <c r="BE114" t="s">
        <v>114</v>
      </c>
      <c r="BH114">
        <v>-942.45685714285844</v>
      </c>
      <c r="BI114">
        <v>-78.538071428571541</v>
      </c>
      <c r="BK114" t="s">
        <v>116</v>
      </c>
      <c r="BL114">
        <v>0</v>
      </c>
      <c r="BM114">
        <v>-32514.761571428568</v>
      </c>
      <c r="BR114">
        <v>0</v>
      </c>
      <c r="BS114">
        <v>471.22842857143041</v>
      </c>
      <c r="BW114" t="s">
        <v>167</v>
      </c>
      <c r="BX114" t="s">
        <v>168</v>
      </c>
      <c r="BZ114" t="s">
        <v>1025</v>
      </c>
    </row>
    <row r="115" spans="1:78">
      <c r="A115" t="s">
        <v>685</v>
      </c>
      <c r="B115" t="s">
        <v>920</v>
      </c>
      <c r="C115" t="s">
        <v>54</v>
      </c>
      <c r="D115" t="s">
        <v>1</v>
      </c>
      <c r="E115" t="s">
        <v>115</v>
      </c>
      <c r="F115" t="s">
        <v>99</v>
      </c>
      <c r="G115" t="s">
        <v>100</v>
      </c>
      <c r="H115" t="s">
        <v>103</v>
      </c>
      <c r="I115" t="s">
        <v>100</v>
      </c>
      <c r="J115" t="s">
        <v>101</v>
      </c>
      <c r="K115" t="s">
        <v>559</v>
      </c>
      <c r="L115" t="s">
        <v>559</v>
      </c>
      <c r="M115" t="s">
        <v>100</v>
      </c>
      <c r="N115" t="s">
        <v>714</v>
      </c>
      <c r="O115" t="s">
        <v>100</v>
      </c>
      <c r="Q115" t="s">
        <v>714</v>
      </c>
      <c r="R115" t="s">
        <v>119</v>
      </c>
      <c r="S115" t="s">
        <v>130</v>
      </c>
      <c r="T115" t="s">
        <v>120</v>
      </c>
      <c r="U115" t="s">
        <v>101</v>
      </c>
      <c r="V115" t="s">
        <v>121</v>
      </c>
      <c r="W115" t="s">
        <v>122</v>
      </c>
      <c r="X115" t="s">
        <v>123</v>
      </c>
      <c r="Y115">
        <v>1</v>
      </c>
      <c r="Z115" t="s">
        <v>750</v>
      </c>
      <c r="AA115" s="280">
        <v>40729</v>
      </c>
      <c r="AB115" t="s">
        <v>114</v>
      </c>
      <c r="AC115" t="s">
        <v>124</v>
      </c>
      <c r="AD115" s="280">
        <v>44651</v>
      </c>
      <c r="AE115" t="s">
        <v>125</v>
      </c>
      <c r="AF115">
        <v>3</v>
      </c>
      <c r="AG115">
        <v>0</v>
      </c>
      <c r="AH115">
        <v>0</v>
      </c>
      <c r="AI115" t="s">
        <v>126</v>
      </c>
      <c r="AL115">
        <v>1.5</v>
      </c>
      <c r="AN115">
        <v>1.5</v>
      </c>
      <c r="AO115">
        <v>0.5</v>
      </c>
      <c r="AP115" t="s">
        <v>1050</v>
      </c>
      <c r="AR115" t="s">
        <v>127</v>
      </c>
      <c r="AS115">
        <v>8550</v>
      </c>
      <c r="AU115">
        <v>0</v>
      </c>
      <c r="AV115">
        <v>0</v>
      </c>
      <c r="AW115">
        <v>0</v>
      </c>
      <c r="AX115">
        <v>8550</v>
      </c>
      <c r="AY115">
        <v>366.42857142857156</v>
      </c>
      <c r="AZ115">
        <v>0</v>
      </c>
      <c r="BC115">
        <v>-8183.5714285714284</v>
      </c>
      <c r="BE115" t="s">
        <v>114</v>
      </c>
      <c r="BH115">
        <v>-244.28571428571436</v>
      </c>
      <c r="BI115">
        <v>-20.357142857142865</v>
      </c>
      <c r="BK115" t="s">
        <v>116</v>
      </c>
      <c r="BL115">
        <v>0</v>
      </c>
      <c r="BM115">
        <v>-8427.8571428571431</v>
      </c>
      <c r="BR115">
        <v>0</v>
      </c>
      <c r="BS115">
        <v>122.14285714285688</v>
      </c>
      <c r="BW115" t="s">
        <v>167</v>
      </c>
      <c r="BX115" t="s">
        <v>168</v>
      </c>
      <c r="BZ115" t="s">
        <v>1023</v>
      </c>
    </row>
    <row r="116" spans="1:78">
      <c r="A116" t="s">
        <v>684</v>
      </c>
      <c r="B116">
        <v>0</v>
      </c>
      <c r="C116" t="s">
        <v>54</v>
      </c>
      <c r="D116" t="s">
        <v>1</v>
      </c>
      <c r="E116" t="s">
        <v>115</v>
      </c>
      <c r="F116" t="s">
        <v>99</v>
      </c>
      <c r="G116" t="s">
        <v>100</v>
      </c>
      <c r="H116" t="s">
        <v>103</v>
      </c>
      <c r="I116" t="s">
        <v>100</v>
      </c>
      <c r="J116" t="s">
        <v>101</v>
      </c>
      <c r="K116" t="s">
        <v>559</v>
      </c>
      <c r="L116" t="s">
        <v>559</v>
      </c>
      <c r="M116" t="s">
        <v>100</v>
      </c>
      <c r="N116" t="s">
        <v>713</v>
      </c>
      <c r="O116" t="s">
        <v>100</v>
      </c>
      <c r="Q116" t="s">
        <v>713</v>
      </c>
      <c r="R116" t="s">
        <v>119</v>
      </c>
      <c r="S116" t="s">
        <v>130</v>
      </c>
      <c r="T116" t="s">
        <v>120</v>
      </c>
      <c r="U116" t="s">
        <v>101</v>
      </c>
      <c r="V116" t="s">
        <v>121</v>
      </c>
      <c r="W116" t="s">
        <v>122</v>
      </c>
      <c r="X116" t="s">
        <v>123</v>
      </c>
      <c r="Y116">
        <v>1</v>
      </c>
      <c r="Z116" t="s">
        <v>749</v>
      </c>
      <c r="AA116" s="280">
        <v>40407</v>
      </c>
      <c r="AB116" t="s">
        <v>114</v>
      </c>
      <c r="AC116" t="s">
        <v>124</v>
      </c>
      <c r="AD116" s="280">
        <v>44651</v>
      </c>
      <c r="AE116" t="s">
        <v>125</v>
      </c>
      <c r="AF116">
        <v>3</v>
      </c>
      <c r="AG116">
        <v>0</v>
      </c>
      <c r="AH116">
        <v>0</v>
      </c>
      <c r="AI116" t="s">
        <v>126</v>
      </c>
      <c r="AL116">
        <v>1.5</v>
      </c>
      <c r="AN116">
        <v>1.5</v>
      </c>
      <c r="AO116">
        <v>0.5</v>
      </c>
      <c r="AP116">
        <v>0</v>
      </c>
      <c r="AR116" t="s">
        <v>127</v>
      </c>
      <c r="AS116">
        <v>1195.01</v>
      </c>
      <c r="AU116">
        <v>0</v>
      </c>
      <c r="AV116">
        <v>0</v>
      </c>
      <c r="AW116">
        <v>0</v>
      </c>
      <c r="AX116">
        <v>1195.01</v>
      </c>
      <c r="AY116">
        <v>51.214714285714308</v>
      </c>
      <c r="AZ116">
        <v>0</v>
      </c>
      <c r="BC116">
        <v>-1143.7952857142857</v>
      </c>
      <c r="BE116" t="s">
        <v>114</v>
      </c>
      <c r="BH116">
        <v>-34.14314285714287</v>
      </c>
      <c r="BI116">
        <v>-2.8452619047619057</v>
      </c>
      <c r="BK116" t="s">
        <v>116</v>
      </c>
      <c r="BL116">
        <v>0</v>
      </c>
      <c r="BM116">
        <v>-1177.9384285714286</v>
      </c>
      <c r="BR116">
        <v>0</v>
      </c>
      <c r="BS116">
        <v>17.07157142857136</v>
      </c>
      <c r="BW116" t="s">
        <v>167</v>
      </c>
      <c r="BX116" t="s">
        <v>168</v>
      </c>
      <c r="BZ116">
        <v>0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6">
    <tabColor rgb="FF00B050"/>
  </sheetPr>
  <dimension ref="A1:T25"/>
  <sheetViews>
    <sheetView tabSelected="1" topLeftCell="I1" zoomScale="75" zoomScaleNormal="100" workbookViewId="0">
      <pane ySplit="3" topLeftCell="A4" activePane="bottomLeft" state="frozen"/>
      <selection pane="bottomLeft" activeCell="S23" sqref="S23"/>
    </sheetView>
  </sheetViews>
  <sheetFormatPr defaultColWidth="9.1796875" defaultRowHeight="14.5"/>
  <cols>
    <col min="1" max="1" width="16.81640625" style="3" customWidth="1"/>
    <col min="2" max="2" width="31.6328125" style="3" bestFit="1" customWidth="1"/>
    <col min="3" max="3" width="17.54296875" style="3" bestFit="1" customWidth="1"/>
    <col min="4" max="4" width="14.26953125" style="3" bestFit="1" customWidth="1"/>
    <col min="5" max="5" width="24.453125" style="3" bestFit="1" customWidth="1"/>
    <col min="6" max="6" width="24.36328125" style="3" bestFit="1" customWidth="1"/>
    <col min="7" max="7" width="17.1796875" style="3" bestFit="1" customWidth="1"/>
    <col min="8" max="8" width="14.54296875" style="3" bestFit="1" customWidth="1"/>
    <col min="9" max="9" width="15.26953125" style="3" bestFit="1" customWidth="1"/>
    <col min="10" max="10" width="14.26953125" style="3" bestFit="1" customWidth="1"/>
    <col min="11" max="11" width="20" style="3" bestFit="1" customWidth="1"/>
    <col min="12" max="12" width="14.1796875" style="3" bestFit="1" customWidth="1"/>
    <col min="13" max="13" width="17.6328125" style="3" bestFit="1" customWidth="1"/>
    <col min="14" max="14" width="17.81640625" style="3" bestFit="1" customWidth="1"/>
    <col min="15" max="15" width="11.6328125" style="3" bestFit="1" customWidth="1"/>
    <col min="16" max="16" width="13.6328125" style="3" bestFit="1" customWidth="1"/>
    <col min="17" max="17" width="13.81640625" style="3" bestFit="1" customWidth="1"/>
    <col min="18" max="18" width="23.81640625" style="3" bestFit="1" customWidth="1"/>
    <col min="19" max="19" width="23.7265625" style="3" bestFit="1" customWidth="1"/>
    <col min="20" max="20" width="17.1796875" style="3" bestFit="1" customWidth="1"/>
    <col min="21" max="16384" width="9.1796875" style="3"/>
  </cols>
  <sheetData>
    <row r="1" spans="1:20" ht="34.5" customHeight="1" thickBot="1">
      <c r="A1" s="274" t="s">
        <v>147</v>
      </c>
      <c r="B1" s="275"/>
      <c r="C1" s="275"/>
      <c r="D1" s="252"/>
      <c r="E1" s="252"/>
      <c r="F1" s="252"/>
      <c r="G1" s="252"/>
      <c r="H1" s="276"/>
    </row>
    <row r="2" spans="1:20" ht="15" thickBot="1">
      <c r="A2" s="97" t="str">
        <f>NHC_FAR!$B$4</f>
        <v>01/04/2024 - 31/03/2025</v>
      </c>
      <c r="B2" s="95"/>
      <c r="C2" s="96"/>
      <c r="D2" s="277" t="s">
        <v>1080</v>
      </c>
      <c r="E2" s="278"/>
      <c r="F2" s="278"/>
      <c r="G2" s="279"/>
      <c r="H2" s="277" t="s">
        <v>176</v>
      </c>
      <c r="I2" s="278"/>
      <c r="J2" s="278"/>
      <c r="K2" s="278"/>
      <c r="L2" s="278"/>
      <c r="M2" s="278"/>
      <c r="N2" s="278"/>
      <c r="O2" s="278"/>
      <c r="P2" s="279"/>
      <c r="Q2" s="277" t="s">
        <v>1079</v>
      </c>
      <c r="R2" s="278"/>
      <c r="S2" s="278"/>
      <c r="T2" s="279"/>
    </row>
    <row r="3" spans="1:20" s="4" customFormat="1" ht="26.5" thickBot="1">
      <c r="A3" s="231" t="s">
        <v>73</v>
      </c>
      <c r="B3" s="237" t="s">
        <v>74</v>
      </c>
      <c r="C3" s="232" t="s">
        <v>18</v>
      </c>
      <c r="D3" s="233" t="s">
        <v>76</v>
      </c>
      <c r="E3" s="233" t="s">
        <v>81</v>
      </c>
      <c r="F3" s="233" t="s">
        <v>91</v>
      </c>
      <c r="G3" s="233" t="s">
        <v>80</v>
      </c>
      <c r="H3" s="239" t="s">
        <v>82</v>
      </c>
      <c r="I3" s="243" t="s">
        <v>1152</v>
      </c>
      <c r="J3" s="240" t="s">
        <v>83</v>
      </c>
      <c r="K3" s="241" t="s">
        <v>77</v>
      </c>
      <c r="L3" s="241" t="s">
        <v>78</v>
      </c>
      <c r="M3" s="241" t="s">
        <v>88</v>
      </c>
      <c r="N3" s="241" t="s">
        <v>85</v>
      </c>
      <c r="O3" s="241" t="s">
        <v>87</v>
      </c>
      <c r="P3" s="242" t="s">
        <v>84</v>
      </c>
      <c r="Q3" s="233" t="s">
        <v>79</v>
      </c>
      <c r="R3" s="233" t="s">
        <v>86</v>
      </c>
      <c r="S3" s="233" t="s">
        <v>89</v>
      </c>
      <c r="T3" s="233" t="s">
        <v>90</v>
      </c>
    </row>
    <row r="4" spans="1:20" ht="15" thickTop="1">
      <c r="A4" s="235" t="s">
        <v>99</v>
      </c>
      <c r="B4" s="227" t="s">
        <v>128</v>
      </c>
      <c r="C4" s="227" t="s">
        <v>101</v>
      </c>
      <c r="D4" s="228">
        <v>1565342.9999999965</v>
      </c>
      <c r="E4" s="228">
        <v>-1372769.2840820358</v>
      </c>
      <c r="F4" s="228"/>
      <c r="G4" s="228">
        <v>192573.71591796001</v>
      </c>
      <c r="H4" s="236">
        <v>0</v>
      </c>
      <c r="I4" s="228">
        <v>0</v>
      </c>
      <c r="J4" s="228"/>
      <c r="K4" s="228"/>
      <c r="L4" s="228">
        <v>0</v>
      </c>
      <c r="M4" s="228"/>
      <c r="N4" s="228">
        <v>0</v>
      </c>
      <c r="O4" s="228"/>
      <c r="P4" s="228">
        <v>-99239.559504252044</v>
      </c>
      <c r="Q4" s="236">
        <v>1565342.9999999965</v>
      </c>
      <c r="R4" s="228">
        <v>-1472008.8435862924</v>
      </c>
      <c r="S4" s="228">
        <v>0</v>
      </c>
      <c r="T4" s="238">
        <v>93334.156413708042</v>
      </c>
    </row>
    <row r="5" spans="1:20">
      <c r="A5" s="235" t="s">
        <v>99</v>
      </c>
      <c r="B5" s="227" t="s">
        <v>103</v>
      </c>
      <c r="C5" s="227" t="s">
        <v>101</v>
      </c>
      <c r="D5" s="228">
        <v>7929500.806499999</v>
      </c>
      <c r="E5" s="228">
        <v>-2300883.5349486521</v>
      </c>
      <c r="F5" s="228">
        <v>-60670.574885844748</v>
      </c>
      <c r="G5" s="228">
        <v>5567946.6966655031</v>
      </c>
      <c r="H5" s="236">
        <v>0</v>
      </c>
      <c r="I5" s="228">
        <v>0</v>
      </c>
      <c r="J5" s="228"/>
      <c r="K5" s="228">
        <v>10728.35</v>
      </c>
      <c r="L5" s="228">
        <v>0</v>
      </c>
      <c r="M5" s="228"/>
      <c r="N5" s="228">
        <v>0</v>
      </c>
      <c r="O5" s="228"/>
      <c r="P5" s="228">
        <v>-1306109.9211958311</v>
      </c>
      <c r="Q5" s="236">
        <v>7940229.1564999986</v>
      </c>
      <c r="R5" s="228">
        <v>-3606993.4561444824</v>
      </c>
      <c r="S5" s="228">
        <v>-60670.574885844748</v>
      </c>
      <c r="T5" s="238">
        <v>4272565.1254696725</v>
      </c>
    </row>
    <row r="6" spans="1:20">
      <c r="A6" s="235" t="s">
        <v>99</v>
      </c>
      <c r="B6" s="227" t="s">
        <v>105</v>
      </c>
      <c r="C6" s="227" t="s">
        <v>101</v>
      </c>
      <c r="D6" s="228">
        <v>456050.95338458859</v>
      </c>
      <c r="E6" s="228">
        <v>-326050.95338458859</v>
      </c>
      <c r="F6" s="228"/>
      <c r="G6" s="228">
        <v>130000</v>
      </c>
      <c r="H6" s="236">
        <v>0</v>
      </c>
      <c r="I6" s="228">
        <v>0</v>
      </c>
      <c r="J6" s="228"/>
      <c r="K6" s="228"/>
      <c r="L6" s="228">
        <v>0</v>
      </c>
      <c r="M6" s="228"/>
      <c r="N6" s="228">
        <v>0</v>
      </c>
      <c r="O6" s="228"/>
      <c r="P6" s="228">
        <v>-69472.913616398248</v>
      </c>
      <c r="Q6" s="236">
        <v>456050.95338458859</v>
      </c>
      <c r="R6" s="228">
        <v>-395523.86700098682</v>
      </c>
      <c r="S6" s="228">
        <v>0</v>
      </c>
      <c r="T6" s="238">
        <v>60527.086383601767</v>
      </c>
    </row>
    <row r="7" spans="1:20">
      <c r="A7" s="235" t="s">
        <v>99</v>
      </c>
      <c r="B7" s="227" t="s">
        <v>600</v>
      </c>
      <c r="C7" s="227" t="s">
        <v>101</v>
      </c>
      <c r="D7" s="228">
        <v>4729676.1274999995</v>
      </c>
      <c r="E7" s="228">
        <v>-785255.81733287673</v>
      </c>
      <c r="F7" s="228"/>
      <c r="G7" s="228">
        <v>3944420.3101671226</v>
      </c>
      <c r="H7" s="236">
        <v>0</v>
      </c>
      <c r="I7" s="228"/>
      <c r="J7" s="228"/>
      <c r="K7" s="228"/>
      <c r="L7" s="228">
        <v>0</v>
      </c>
      <c r="M7" s="228"/>
      <c r="N7" s="228">
        <v>0</v>
      </c>
      <c r="O7" s="228"/>
      <c r="P7" s="228">
        <v>-945935.22549999983</v>
      </c>
      <c r="Q7" s="236">
        <v>4729676.1274999995</v>
      </c>
      <c r="R7" s="228">
        <v>-1731191.0428328766</v>
      </c>
      <c r="S7" s="228">
        <v>0</v>
      </c>
      <c r="T7" s="238">
        <v>2998485.0846671229</v>
      </c>
    </row>
    <row r="8" spans="1:20">
      <c r="A8" s="235" t="s">
        <v>99</v>
      </c>
      <c r="B8" s="227" t="s">
        <v>623</v>
      </c>
      <c r="C8" s="227" t="s">
        <v>101</v>
      </c>
      <c r="D8" s="228">
        <v>632812.09</v>
      </c>
      <c r="E8" s="228">
        <v>-364735.18872078921</v>
      </c>
      <c r="F8" s="228">
        <v>-5525.4874471361591</v>
      </c>
      <c r="G8" s="228">
        <v>262551.41383207438</v>
      </c>
      <c r="H8" s="236">
        <v>0</v>
      </c>
      <c r="I8" s="228">
        <v>0</v>
      </c>
      <c r="J8" s="228"/>
      <c r="K8" s="228"/>
      <c r="L8" s="228">
        <v>0</v>
      </c>
      <c r="M8" s="228"/>
      <c r="N8" s="228">
        <v>0</v>
      </c>
      <c r="O8" s="228"/>
      <c r="P8" s="228">
        <v>-71032.240260599283</v>
      </c>
      <c r="Q8" s="236">
        <v>632812.09</v>
      </c>
      <c r="R8" s="228">
        <v>-435767.42898138851</v>
      </c>
      <c r="S8" s="228">
        <v>-5525.4874471361591</v>
      </c>
      <c r="T8" s="238">
        <v>191519.17357147514</v>
      </c>
    </row>
    <row r="9" spans="1:20" ht="15" thickBot="1">
      <c r="A9" s="235" t="s">
        <v>117</v>
      </c>
      <c r="B9" s="235"/>
      <c r="C9" s="235"/>
      <c r="D9" s="234">
        <v>15313382.977384584</v>
      </c>
      <c r="E9" s="234">
        <v>-5149694.7784689423</v>
      </c>
      <c r="F9" s="234">
        <v>-66196.062332980902</v>
      </c>
      <c r="G9" s="234">
        <v>10097492.13658266</v>
      </c>
      <c r="H9" s="234">
        <v>0</v>
      </c>
      <c r="I9" s="234">
        <v>0</v>
      </c>
      <c r="J9" s="234"/>
      <c r="K9" s="234">
        <v>10728.35</v>
      </c>
      <c r="L9" s="234">
        <v>0</v>
      </c>
      <c r="M9" s="234"/>
      <c r="N9" s="234">
        <v>0</v>
      </c>
      <c r="O9" s="234"/>
      <c r="P9" s="234">
        <v>-2491789.8600770803</v>
      </c>
      <c r="Q9" s="234">
        <v>15324111.327384584</v>
      </c>
      <c r="R9" s="234">
        <v>-7641484.6385460272</v>
      </c>
      <c r="S9" s="234">
        <v>-66196.062332980902</v>
      </c>
      <c r="T9" s="234">
        <v>7616430.6265055798</v>
      </c>
    </row>
    <row r="10" spans="1:20" ht="15.5" thickTop="1" thickBot="1">
      <c r="A10" s="229" t="s">
        <v>72</v>
      </c>
      <c r="B10" s="229"/>
      <c r="C10" s="229"/>
      <c r="D10" s="230">
        <v>15313382.977384584</v>
      </c>
      <c r="E10" s="230">
        <v>-5149694.7784689423</v>
      </c>
      <c r="F10" s="230">
        <v>-66196.062332980902</v>
      </c>
      <c r="G10" s="230">
        <v>10097492.13658266</v>
      </c>
      <c r="H10" s="230">
        <v>0</v>
      </c>
      <c r="I10" s="230">
        <v>0</v>
      </c>
      <c r="J10" s="230"/>
      <c r="K10" s="230">
        <v>10728.35</v>
      </c>
      <c r="L10" s="230">
        <v>0</v>
      </c>
      <c r="M10" s="230"/>
      <c r="N10" s="230">
        <v>0</v>
      </c>
      <c r="O10" s="230"/>
      <c r="P10" s="230">
        <v>-2491789.8600770803</v>
      </c>
      <c r="Q10" s="230">
        <v>15324111.327384584</v>
      </c>
      <c r="R10" s="230">
        <v>-7641484.6385460272</v>
      </c>
      <c r="S10" s="230">
        <v>-66196.062332980902</v>
      </c>
      <c r="T10" s="230">
        <v>7616430.6265055798</v>
      </c>
    </row>
    <row r="11" spans="1:20" ht="15" thickTop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</row>
    <row r="12" spans="1:20" ht="15" thickTop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</row>
    <row r="13" spans="1:20" ht="15" thickBo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</row>
    <row r="14" spans="1:20" ht="15" thickBo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</row>
    <row r="15" spans="1:20" ht="15.5" thickTop="1" thickBo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</row>
    <row r="16" spans="1:20" ht="15" thickTop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spans="1:20" ht="15" thickTop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spans="1:20" ht="15" thickBo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spans="1:20" ht="15.5" thickTop="1" thickBo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spans="1:20" ht="15" thickBo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1:20" ht="15" thickBo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1:20" ht="15.5" thickTop="1" thickBo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20" ht="15" thickBo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20" ht="15.5" thickTop="1" thickBo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 s="14"/>
    </row>
    <row r="25" spans="1:20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 s="14"/>
    </row>
  </sheetData>
  <mergeCells count="4">
    <mergeCell ref="A1:H1"/>
    <mergeCell ref="D2:G2"/>
    <mergeCell ref="Q2:T2"/>
    <mergeCell ref="H2:P2"/>
  </mergeCells>
  <pageMargins left="0.7" right="0.7" top="0.75" bottom="0.75" header="0.3" footer="0.3"/>
  <pageSetup paperSize="9"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1">
    <tabColor rgb="FF00B050"/>
  </sheetPr>
  <dimension ref="A1:CE555"/>
  <sheetViews>
    <sheetView zoomScale="70" zoomScaleNormal="80" workbookViewId="0">
      <pane ySplit="6" topLeftCell="A7" activePane="bottomLeft" state="frozen"/>
      <selection activeCell="G16" sqref="G16"/>
      <selection pane="bottomLeft" activeCell="I21" sqref="I21"/>
    </sheetView>
  </sheetViews>
  <sheetFormatPr defaultColWidth="10.36328125" defaultRowHeight="14.5" outlineLevelRow="1" outlineLevelCol="1"/>
  <cols>
    <col min="1" max="1" width="19.54296875" style="3" bestFit="1" customWidth="1"/>
    <col min="2" max="2" width="21.54296875" style="3" bestFit="1" customWidth="1"/>
    <col min="3" max="3" width="8.7265625" style="3" bestFit="1" customWidth="1"/>
    <col min="4" max="4" width="24.81640625" style="3" bestFit="1" customWidth="1"/>
    <col min="5" max="5" width="8.7265625" style="3" bestFit="1" customWidth="1"/>
    <col min="6" max="6" width="18.81640625" style="3" bestFit="1" customWidth="1"/>
    <col min="7" max="7" width="8.7265625" style="3" bestFit="1" customWidth="1"/>
    <col min="8" max="8" width="27.7265625" style="3" bestFit="1" customWidth="1"/>
    <col min="9" max="9" width="8.7265625" style="3" bestFit="1" customWidth="1"/>
    <col min="10" max="10" width="15.90625" style="3" bestFit="1" customWidth="1"/>
    <col min="11" max="11" width="22.6328125" style="3" bestFit="1" customWidth="1"/>
    <col min="12" max="12" width="11.26953125" style="3" bestFit="1" customWidth="1"/>
    <col min="13" max="13" width="8.7265625" style="3" bestFit="1" customWidth="1"/>
    <col min="14" max="14" width="41.81640625" style="3" customWidth="1"/>
    <col min="15" max="15" width="21.1796875" style="3" customWidth="1"/>
    <col min="16" max="16" width="20.36328125" style="3" bestFit="1" customWidth="1"/>
    <col min="17" max="17" width="46.36328125" style="3" customWidth="1"/>
    <col min="18" max="18" width="32.453125" style="3" customWidth="1"/>
    <col min="19" max="19" width="34.453125" style="3" customWidth="1" outlineLevel="1"/>
    <col min="20" max="20" width="10.81640625" style="3" customWidth="1" outlineLevel="1"/>
    <col min="21" max="21" width="11.453125" style="3" customWidth="1" outlineLevel="1"/>
    <col min="22" max="22" width="38.81640625" style="3" customWidth="1" outlineLevel="1"/>
    <col min="23" max="23" width="40" style="3" customWidth="1" outlineLevel="1"/>
    <col min="24" max="24" width="37.1796875" style="3" customWidth="1" outlineLevel="1"/>
    <col min="25" max="25" width="39.453125" style="3" customWidth="1" outlineLevel="1"/>
    <col min="26" max="26" width="25.36328125" style="3" customWidth="1" outlineLevel="1"/>
    <col min="27" max="27" width="12.36328125" style="3" customWidth="1"/>
    <col min="28" max="28" width="9.453125" style="3" customWidth="1"/>
    <col min="29" max="29" width="11.453125" style="3" customWidth="1" outlineLevel="1"/>
    <col min="30" max="30" width="15.81640625" style="3" customWidth="1" outlineLevel="1"/>
    <col min="31" max="31" width="17.453125" style="3" customWidth="1"/>
    <col min="32" max="34" width="14.36328125" style="30" customWidth="1"/>
    <col min="35" max="35" width="10.36328125" style="3" customWidth="1"/>
    <col min="36" max="36" width="13.90625" style="3" customWidth="1"/>
    <col min="37" max="38" width="10.36328125" style="3" customWidth="1"/>
    <col min="39" max="39" width="17.453125" style="3" customWidth="1"/>
    <col min="40" max="40" width="23.36328125" style="3" customWidth="1"/>
    <col min="41" max="41" width="14" style="3" customWidth="1"/>
    <col min="42" max="42" width="16.7265625" style="3" customWidth="1"/>
    <col min="43" max="43" width="14" style="3" customWidth="1"/>
    <col min="44" max="44" width="19.453125" style="3" customWidth="1"/>
    <col min="45" max="45" width="18.453125" style="3" customWidth="1"/>
    <col min="46" max="46" width="19.1796875" style="3" customWidth="1"/>
    <col min="47" max="47" width="20" style="3" customWidth="1"/>
    <col min="48" max="48" width="22.1796875" style="3" customWidth="1" outlineLevel="1"/>
    <col min="49" max="49" width="14" style="3" customWidth="1"/>
    <col min="50" max="50" width="16.453125" style="3" customWidth="1"/>
    <col min="51" max="51" width="18.6328125" style="28" customWidth="1"/>
    <col min="52" max="52" width="22.1796875" style="3" customWidth="1"/>
    <col min="53" max="53" width="15.453125" style="3" customWidth="1" outlineLevel="1"/>
    <col min="54" max="54" width="14" style="3" customWidth="1"/>
    <col min="55" max="55" width="21.81640625" style="3" customWidth="1"/>
    <col min="56" max="56" width="22.36328125" style="3" customWidth="1"/>
    <col min="57" max="57" width="25.81640625" style="3" customWidth="1" outlineLevel="1"/>
    <col min="58" max="58" width="13.81640625" style="3" customWidth="1"/>
    <col min="59" max="59" width="26.453125" style="3" customWidth="1"/>
    <col min="60" max="60" width="20.36328125" style="3" bestFit="1" customWidth="1"/>
    <col min="61" max="61" width="20.36328125" style="3" customWidth="1"/>
    <col min="62" max="62" width="18.1796875" style="3" customWidth="1"/>
    <col min="63" max="63" width="19.6328125" style="3" customWidth="1"/>
    <col min="64" max="64" width="18.36328125" style="3" customWidth="1"/>
    <col min="65" max="65" width="22.1796875" style="3" customWidth="1"/>
    <col min="66" max="66" width="19.81640625" style="3" customWidth="1"/>
    <col min="67" max="67" width="18.453125" style="3" customWidth="1"/>
    <col min="68" max="68" width="39.1796875" style="3" customWidth="1" outlineLevel="1"/>
    <col min="69" max="69" width="16.36328125" style="3" customWidth="1"/>
    <col min="70" max="70" width="20.6328125" style="3" customWidth="1"/>
    <col min="71" max="71" width="18.453125" style="3" customWidth="1"/>
    <col min="72" max="72" width="19.453125" style="30" hidden="1" customWidth="1"/>
    <col min="73" max="73" width="22.81640625" style="3" hidden="1" customWidth="1"/>
    <col min="74" max="74" width="26.6328125" style="3" hidden="1" customWidth="1"/>
    <col min="75" max="75" width="21.453125" style="3" hidden="1" customWidth="1"/>
    <col min="76" max="76" width="30" style="3" hidden="1" customWidth="1"/>
    <col min="77" max="77" width="24.81640625" style="3" customWidth="1"/>
    <col min="78" max="79" width="42.453125" style="3" customWidth="1"/>
    <col min="80" max="80" width="12.81640625" style="3" customWidth="1"/>
    <col min="81" max="81" width="20.81640625" style="3" customWidth="1"/>
    <col min="82" max="82" width="10.36328125" style="3" customWidth="1"/>
    <col min="83" max="83" width="15.90625" style="3" bestFit="1" customWidth="1"/>
    <col min="84" max="84" width="10.36328125" style="3"/>
    <col min="85" max="85" width="18.90625" style="3" customWidth="1"/>
    <col min="86" max="16384" width="10.36328125" style="3"/>
  </cols>
  <sheetData>
    <row r="1" spans="1:83" ht="18" customHeight="1" outlineLevel="1">
      <c r="A1" s="143" t="s">
        <v>0</v>
      </c>
      <c r="B1" s="133" t="s">
        <v>556</v>
      </c>
      <c r="C1" s="73" t="s">
        <v>558</v>
      </c>
      <c r="D1" s="257" t="s">
        <v>557</v>
      </c>
      <c r="E1" s="258"/>
      <c r="F1" s="259"/>
      <c r="G1" s="251" t="s">
        <v>147</v>
      </c>
      <c r="H1" s="252"/>
      <c r="I1" s="252"/>
      <c r="J1" s="252"/>
      <c r="AF1" s="3"/>
      <c r="AI1" s="30"/>
      <c r="AS1" s="40"/>
      <c r="AY1" s="3"/>
      <c r="AZ1" s="28"/>
      <c r="BA1" s="136"/>
      <c r="BB1" s="136"/>
      <c r="BT1" s="3"/>
      <c r="BU1" s="30"/>
    </row>
    <row r="2" spans="1:83" ht="15" customHeight="1" outlineLevel="1">
      <c r="A2" s="74" t="s">
        <v>65</v>
      </c>
      <c r="B2" s="71" t="s">
        <v>66</v>
      </c>
      <c r="C2" s="260" t="s">
        <v>2</v>
      </c>
      <c r="D2" s="261" t="s">
        <v>1</v>
      </c>
      <c r="E2" s="262"/>
      <c r="F2" s="263"/>
      <c r="G2" s="253"/>
      <c r="H2" s="254"/>
      <c r="I2" s="254"/>
      <c r="J2" s="254"/>
      <c r="AF2" s="32"/>
      <c r="AG2" s="32"/>
      <c r="AH2" s="32"/>
    </row>
    <row r="3" spans="1:83" ht="15" customHeight="1" outlineLevel="1" thickBot="1">
      <c r="A3" s="74" t="s">
        <v>3</v>
      </c>
      <c r="B3" s="72">
        <v>45747</v>
      </c>
      <c r="C3" s="260"/>
      <c r="D3" s="264" t="s">
        <v>133</v>
      </c>
      <c r="E3" s="265"/>
      <c r="F3" s="266"/>
      <c r="G3" s="255"/>
      <c r="H3" s="256"/>
      <c r="I3" s="256"/>
      <c r="J3" s="256"/>
      <c r="O3" s="11"/>
      <c r="AF3" s="32"/>
      <c r="AG3" s="32"/>
      <c r="AH3" s="32"/>
      <c r="AS3" s="40"/>
      <c r="AT3" s="40"/>
    </row>
    <row r="4" spans="1:83" ht="15" customHeight="1" outlineLevel="1" thickBot="1">
      <c r="A4" s="75" t="s">
        <v>4</v>
      </c>
      <c r="B4" s="76" t="s">
        <v>1081</v>
      </c>
      <c r="C4" s="77" t="s">
        <v>5</v>
      </c>
      <c r="D4" s="250"/>
      <c r="E4" s="250"/>
      <c r="F4" s="250"/>
      <c r="AF4" s="32"/>
      <c r="AG4" s="32"/>
      <c r="AH4" s="32"/>
      <c r="BQ4" s="94"/>
    </row>
    <row r="5" spans="1:83" outlineLevel="1">
      <c r="AS5" s="248"/>
      <c r="AT5" s="248"/>
      <c r="AU5" s="248"/>
      <c r="AV5" s="248"/>
      <c r="AW5" s="248"/>
      <c r="AX5" s="248"/>
      <c r="AY5" s="248"/>
      <c r="AZ5" s="248"/>
      <c r="BA5" s="248"/>
      <c r="BB5" s="248"/>
      <c r="BC5" s="248"/>
      <c r="BD5" s="248"/>
      <c r="BE5" s="248"/>
      <c r="BF5" s="248"/>
      <c r="BG5" s="248"/>
      <c r="BH5" s="248"/>
      <c r="BI5" s="248"/>
      <c r="BJ5" s="248"/>
      <c r="BK5" s="248"/>
      <c r="BL5" s="248"/>
      <c r="BM5" s="249"/>
      <c r="BN5" s="249"/>
      <c r="BO5" s="249"/>
      <c r="BP5" s="249"/>
      <c r="BQ5" s="249"/>
      <c r="BR5" s="249"/>
      <c r="BS5" s="249"/>
    </row>
    <row r="6" spans="1:83" ht="60" customHeight="1">
      <c r="A6" s="80" t="s">
        <v>118</v>
      </c>
      <c r="B6" s="78" t="s">
        <v>153</v>
      </c>
      <c r="C6" s="79" t="s">
        <v>6</v>
      </c>
      <c r="D6" s="78" t="s">
        <v>7</v>
      </c>
      <c r="E6" s="79" t="s">
        <v>8</v>
      </c>
      <c r="F6" s="78" t="s">
        <v>49</v>
      </c>
      <c r="G6" s="79" t="s">
        <v>9</v>
      </c>
      <c r="H6" s="78" t="s">
        <v>50</v>
      </c>
      <c r="I6" s="79" t="s">
        <v>52</v>
      </c>
      <c r="J6" s="78" t="s">
        <v>51</v>
      </c>
      <c r="K6" s="79" t="s">
        <v>10</v>
      </c>
      <c r="L6" s="79" t="s">
        <v>155</v>
      </c>
      <c r="M6" s="79" t="s">
        <v>53</v>
      </c>
      <c r="N6" s="78" t="s">
        <v>12</v>
      </c>
      <c r="O6" s="79" t="s">
        <v>11</v>
      </c>
      <c r="P6" s="78" t="s">
        <v>13</v>
      </c>
      <c r="Q6" s="78" t="s">
        <v>14</v>
      </c>
      <c r="R6" s="79" t="s">
        <v>15</v>
      </c>
      <c r="S6" s="79" t="s">
        <v>16</v>
      </c>
      <c r="T6" s="79" t="s">
        <v>17</v>
      </c>
      <c r="U6" s="79" t="s">
        <v>18</v>
      </c>
      <c r="V6" s="79" t="s">
        <v>19</v>
      </c>
      <c r="W6" s="79" t="s">
        <v>20</v>
      </c>
      <c r="X6" s="79" t="s">
        <v>92</v>
      </c>
      <c r="Y6" s="79" t="s">
        <v>21</v>
      </c>
      <c r="Z6" s="79" t="s">
        <v>157</v>
      </c>
      <c r="AA6" s="79" t="s">
        <v>55</v>
      </c>
      <c r="AB6" s="79" t="s">
        <v>22</v>
      </c>
      <c r="AC6" s="79" t="s">
        <v>23</v>
      </c>
      <c r="AD6" s="79" t="s">
        <v>131</v>
      </c>
      <c r="AE6" s="79" t="s">
        <v>56</v>
      </c>
      <c r="AF6" s="79" t="s">
        <v>24</v>
      </c>
      <c r="AG6" s="79" t="s">
        <v>172</v>
      </c>
      <c r="AH6" s="79" t="s">
        <v>171</v>
      </c>
      <c r="AI6" s="81" t="s">
        <v>25</v>
      </c>
      <c r="AJ6" s="81" t="s">
        <v>158</v>
      </c>
      <c r="AK6" s="81" t="s">
        <v>159</v>
      </c>
      <c r="AL6" s="137" t="s">
        <v>161</v>
      </c>
      <c r="AM6" s="137" t="s">
        <v>162</v>
      </c>
      <c r="AN6" s="82" t="s">
        <v>1179</v>
      </c>
      <c r="AO6" s="82" t="s">
        <v>1178</v>
      </c>
      <c r="AP6" s="82" t="s">
        <v>166</v>
      </c>
      <c r="AQ6" s="82" t="s">
        <v>165</v>
      </c>
      <c r="AR6" s="79" t="s">
        <v>26</v>
      </c>
      <c r="AS6" s="86" t="s">
        <v>59</v>
      </c>
      <c r="AT6" s="86" t="s">
        <v>27</v>
      </c>
      <c r="AU6" s="88" t="s">
        <v>28</v>
      </c>
      <c r="AV6" s="89" t="s">
        <v>29</v>
      </c>
      <c r="AW6" s="89" t="s">
        <v>30</v>
      </c>
      <c r="AX6" s="83" t="s">
        <v>57</v>
      </c>
      <c r="AY6" s="86" t="s">
        <v>58</v>
      </c>
      <c r="AZ6" s="88" t="s">
        <v>31</v>
      </c>
      <c r="BA6" s="84" t="s">
        <v>32</v>
      </c>
      <c r="BB6" s="84" t="s">
        <v>33</v>
      </c>
      <c r="BC6" s="86" t="s">
        <v>34</v>
      </c>
      <c r="BD6" s="88" t="s">
        <v>35</v>
      </c>
      <c r="BE6" s="89" t="s">
        <v>36</v>
      </c>
      <c r="BF6" s="86" t="s">
        <v>37</v>
      </c>
      <c r="BG6" s="89" t="s">
        <v>38</v>
      </c>
      <c r="BH6" s="86" t="s">
        <v>39</v>
      </c>
      <c r="BI6" s="86" t="s">
        <v>1177</v>
      </c>
      <c r="BJ6" s="86" t="s">
        <v>40</v>
      </c>
      <c r="BK6" s="85" t="s">
        <v>41</v>
      </c>
      <c r="BL6" s="89" t="s">
        <v>60</v>
      </c>
      <c r="BM6" s="86" t="s">
        <v>61</v>
      </c>
      <c r="BN6" s="90" t="s">
        <v>42</v>
      </c>
      <c r="BO6" s="91" t="s">
        <v>43</v>
      </c>
      <c r="BP6" s="92" t="s">
        <v>44</v>
      </c>
      <c r="BQ6" s="93" t="s">
        <v>62</v>
      </c>
      <c r="BR6" s="90" t="s">
        <v>63</v>
      </c>
      <c r="BS6" s="87" t="s">
        <v>64</v>
      </c>
      <c r="BT6" s="89" t="s">
        <v>173</v>
      </c>
      <c r="BU6" s="1" t="s">
        <v>45</v>
      </c>
      <c r="BV6" s="1" t="s">
        <v>46</v>
      </c>
      <c r="BW6" s="2" t="s">
        <v>47</v>
      </c>
      <c r="BX6" s="2" t="s">
        <v>48</v>
      </c>
      <c r="BY6" s="2" t="s">
        <v>154</v>
      </c>
      <c r="BZ6" s="2" t="s">
        <v>148</v>
      </c>
      <c r="CA6" s="135" t="s">
        <v>156</v>
      </c>
      <c r="CB6" s="134" t="s">
        <v>170</v>
      </c>
      <c r="CC6" s="134" t="s">
        <v>169</v>
      </c>
      <c r="CD6" s="134" t="s">
        <v>175</v>
      </c>
      <c r="CE6" s="142" t="s">
        <v>177</v>
      </c>
    </row>
    <row r="7" spans="1:83">
      <c r="A7" s="35" t="s">
        <v>178</v>
      </c>
      <c r="B7" s="9" t="s">
        <v>851</v>
      </c>
      <c r="C7" s="9" t="s">
        <v>54</v>
      </c>
      <c r="D7" s="10" t="s">
        <v>1</v>
      </c>
      <c r="E7" s="9" t="s">
        <v>115</v>
      </c>
      <c r="F7" s="36" t="s">
        <v>99</v>
      </c>
      <c r="G7" s="9" t="s">
        <v>100</v>
      </c>
      <c r="H7" s="3" t="s">
        <v>128</v>
      </c>
      <c r="I7" s="9" t="s">
        <v>100</v>
      </c>
      <c r="J7" s="36" t="s">
        <v>101</v>
      </c>
      <c r="K7" s="10" t="s">
        <v>559</v>
      </c>
      <c r="L7" s="10" t="s">
        <v>559</v>
      </c>
      <c r="M7" s="9" t="s">
        <v>100</v>
      </c>
      <c r="N7" s="10" t="s">
        <v>424</v>
      </c>
      <c r="O7" s="9" t="s">
        <v>100</v>
      </c>
      <c r="P7" s="10"/>
      <c r="Q7" s="10" t="s">
        <v>424</v>
      </c>
      <c r="R7" s="10" t="s">
        <v>119</v>
      </c>
      <c r="S7" s="10" t="s">
        <v>130</v>
      </c>
      <c r="T7" s="10" t="s">
        <v>120</v>
      </c>
      <c r="U7" s="10" t="s">
        <v>101</v>
      </c>
      <c r="V7" s="10" t="s">
        <v>121</v>
      </c>
      <c r="W7" s="10" t="s">
        <v>122</v>
      </c>
      <c r="X7" s="10" t="s">
        <v>123</v>
      </c>
      <c r="Y7" s="29">
        <v>1</v>
      </c>
      <c r="Z7" s="138" t="s">
        <v>560</v>
      </c>
      <c r="AA7" s="138">
        <v>38093</v>
      </c>
      <c r="AB7" s="9" t="s">
        <v>114</v>
      </c>
      <c r="AC7" s="9" t="s">
        <v>124</v>
      </c>
      <c r="AD7" s="15">
        <v>44651</v>
      </c>
      <c r="AE7" s="39" t="s">
        <v>125</v>
      </c>
      <c r="AF7" s="177">
        <v>6</v>
      </c>
      <c r="AG7" s="140">
        <v>0</v>
      </c>
      <c r="AH7" s="9">
        <v>0</v>
      </c>
      <c r="AI7" s="10" t="s">
        <v>126</v>
      </c>
      <c r="AJ7" s="10"/>
      <c r="AK7" s="29"/>
      <c r="AL7" s="12">
        <v>1</v>
      </c>
      <c r="AM7" s="10"/>
      <c r="AN7" s="12">
        <f>FAR[[#This Row],[Opening RUL]]+FAR[[#This Row],[RUL Adjustment]]</f>
        <v>1</v>
      </c>
      <c r="AO7" s="12">
        <f>FAR[[#This Row],[Opening RUL 30 June 2026]]-1</f>
        <v>0</v>
      </c>
      <c r="AP7" s="12" t="s">
        <v>1050</v>
      </c>
      <c r="AQ7" s="139"/>
      <c r="AR7" s="10" t="s">
        <v>127</v>
      </c>
      <c r="AS7" s="13">
        <v>6384</v>
      </c>
      <c r="AT7" s="13"/>
      <c r="AU7" s="13">
        <v>0</v>
      </c>
      <c r="AV7" s="13">
        <v>0</v>
      </c>
      <c r="AW7" s="13">
        <v>0</v>
      </c>
      <c r="AX7" s="13">
        <v>6384</v>
      </c>
      <c r="AY7" s="13">
        <v>354.66666666666606</v>
      </c>
      <c r="AZ7" s="13">
        <v>0</v>
      </c>
      <c r="BA7" s="13"/>
      <c r="BB7" s="13"/>
      <c r="BC7" s="13">
        <v>-6029.3333333333339</v>
      </c>
      <c r="BD7" s="13"/>
      <c r="BE7" s="13" t="s">
        <v>114</v>
      </c>
      <c r="BF7" s="29"/>
      <c r="BG7" s="13"/>
      <c r="BH7" s="13">
        <f>-FAR[[#This Row],[Carrying value (opening balance)]]/FAR[[#This Row],[Opening RUL 30 June 2026]]</f>
        <v>-354.66666666666606</v>
      </c>
      <c r="BI7" s="13">
        <f>FAR[[#This Row],[Depreciation YTD]]/12</f>
        <v>-29.555555555555504</v>
      </c>
      <c r="BJ7" s="13"/>
      <c r="BK7" s="13" t="s">
        <v>116</v>
      </c>
      <c r="BL7" s="13">
        <v>0</v>
      </c>
      <c r="BM7" s="13">
        <f>FAR[[#This Row],[Accumulated depreciation (Opening balance)]]+FAR[[#This Row],[Depreciation YTD]]+FAR[[#This Row],[Derecognitions (acc dep) '[+']]]</f>
        <v>-6384</v>
      </c>
      <c r="BN7" s="13"/>
      <c r="BO7" s="13"/>
      <c r="BP7" s="13"/>
      <c r="BQ7" s="13"/>
      <c r="BR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7" s="13">
        <f>FAR[[#This Row],[Cost Price (closing balance)]]+FAR[[#This Row],[Accumulated depreciation (Closing balance)]]+FAR[[#This Row],[Accumulated impairments (Closing balance)]]</f>
        <v>0</v>
      </c>
      <c r="BT7" s="13"/>
      <c r="BU7" s="13"/>
      <c r="BV7" s="13"/>
      <c r="BW7" s="10" t="s">
        <v>167</v>
      </c>
      <c r="BX7" s="9" t="s">
        <v>168</v>
      </c>
      <c r="BY7" s="10"/>
      <c r="BZ7" t="s">
        <v>937</v>
      </c>
      <c r="CA7"/>
      <c r="CB7" s="34"/>
      <c r="CC7" s="34"/>
      <c r="CD7" s="34"/>
      <c r="CE7" s="141"/>
    </row>
    <row r="8" spans="1:83">
      <c r="A8" s="35" t="s">
        <v>179</v>
      </c>
      <c r="B8" s="9" t="s">
        <v>852</v>
      </c>
      <c r="C8" s="9" t="s">
        <v>54</v>
      </c>
      <c r="D8" s="10" t="s">
        <v>1</v>
      </c>
      <c r="E8" s="9" t="s">
        <v>115</v>
      </c>
      <c r="F8" s="36" t="s">
        <v>99</v>
      </c>
      <c r="G8" s="9" t="s">
        <v>100</v>
      </c>
      <c r="H8" s="3" t="s">
        <v>128</v>
      </c>
      <c r="I8" s="9" t="s">
        <v>100</v>
      </c>
      <c r="J8" s="36" t="s">
        <v>101</v>
      </c>
      <c r="K8" s="10" t="s">
        <v>559</v>
      </c>
      <c r="L8" s="10" t="s">
        <v>559</v>
      </c>
      <c r="M8" s="9" t="s">
        <v>100</v>
      </c>
      <c r="N8" s="10" t="s">
        <v>425</v>
      </c>
      <c r="O8" s="9" t="s">
        <v>100</v>
      </c>
      <c r="P8" s="10"/>
      <c r="Q8" s="10" t="s">
        <v>425</v>
      </c>
      <c r="R8" s="10" t="s">
        <v>119</v>
      </c>
      <c r="S8" s="10" t="s">
        <v>130</v>
      </c>
      <c r="T8" s="10" t="s">
        <v>120</v>
      </c>
      <c r="U8" s="10" t="s">
        <v>101</v>
      </c>
      <c r="V8" s="10" t="s">
        <v>121</v>
      </c>
      <c r="W8" s="10" t="s">
        <v>122</v>
      </c>
      <c r="X8" s="10" t="s">
        <v>123</v>
      </c>
      <c r="Y8" s="29">
        <v>1</v>
      </c>
      <c r="Z8" s="138" t="s">
        <v>560</v>
      </c>
      <c r="AA8" s="138">
        <v>38093</v>
      </c>
      <c r="AB8" s="9" t="s">
        <v>114</v>
      </c>
      <c r="AC8" s="9" t="s">
        <v>124</v>
      </c>
      <c r="AD8" s="15">
        <v>44651</v>
      </c>
      <c r="AE8" s="39" t="s">
        <v>125</v>
      </c>
      <c r="AF8" s="177">
        <v>6</v>
      </c>
      <c r="AG8" s="140">
        <v>0</v>
      </c>
      <c r="AH8" s="9">
        <v>0</v>
      </c>
      <c r="AI8" s="10" t="s">
        <v>126</v>
      </c>
      <c r="AJ8" s="10"/>
      <c r="AK8" s="29"/>
      <c r="AL8" s="12">
        <v>1</v>
      </c>
      <c r="AM8" s="10"/>
      <c r="AN8" s="12">
        <f>FAR[[#This Row],[Opening RUL]]+FAR[[#This Row],[RUL Adjustment]]</f>
        <v>1</v>
      </c>
      <c r="AO8" s="12">
        <f>FAR[[#This Row],[Opening RUL 30 June 2026]]-1</f>
        <v>0</v>
      </c>
      <c r="AP8" s="12" t="s">
        <v>1051</v>
      </c>
      <c r="AQ8" s="139"/>
      <c r="AR8" s="10" t="s">
        <v>127</v>
      </c>
      <c r="AS8" s="13">
        <v>2394</v>
      </c>
      <c r="AT8" s="13"/>
      <c r="AU8" s="13">
        <v>0</v>
      </c>
      <c r="AV8" s="13">
        <v>0</v>
      </c>
      <c r="AW8" s="13">
        <v>0</v>
      </c>
      <c r="AX8" s="13">
        <v>2394</v>
      </c>
      <c r="AY8" s="13">
        <v>133</v>
      </c>
      <c r="AZ8" s="13">
        <v>0</v>
      </c>
      <c r="BA8" s="13"/>
      <c r="BB8" s="13"/>
      <c r="BC8" s="13">
        <v>-2261</v>
      </c>
      <c r="BD8" s="13"/>
      <c r="BE8" s="13" t="s">
        <v>114</v>
      </c>
      <c r="BF8" s="29"/>
      <c r="BG8" s="13"/>
      <c r="BH8" s="13">
        <f>-FAR[[#This Row],[Carrying value (opening balance)]]/FAR[[#This Row],[Opening RUL 30 June 2026]]</f>
        <v>-133</v>
      </c>
      <c r="BI8" s="13">
        <f>FAR[[#This Row],[Depreciation YTD]]/12</f>
        <v>-11.083333333333334</v>
      </c>
      <c r="BJ8" s="13"/>
      <c r="BK8" s="13" t="s">
        <v>116</v>
      </c>
      <c r="BL8" s="13">
        <v>0</v>
      </c>
      <c r="BM8" s="13">
        <f>FAR[[#This Row],[Accumulated depreciation (Opening balance)]]+FAR[[#This Row],[Depreciation YTD]]+FAR[[#This Row],[Derecognitions (acc dep) '[+']]]</f>
        <v>-2394</v>
      </c>
      <c r="BN8" s="13"/>
      <c r="BO8" s="13"/>
      <c r="BP8" s="13"/>
      <c r="BQ8" s="13"/>
      <c r="BR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8" s="13">
        <f>FAR[[#This Row],[Cost Price (closing balance)]]+FAR[[#This Row],[Accumulated depreciation (Closing balance)]]+FAR[[#This Row],[Accumulated impairments (Closing balance)]]</f>
        <v>0</v>
      </c>
      <c r="BT8" s="13"/>
      <c r="BU8" s="13"/>
      <c r="BV8" s="13"/>
      <c r="BW8" s="10" t="s">
        <v>167</v>
      </c>
      <c r="BX8" s="9" t="s">
        <v>168</v>
      </c>
      <c r="BY8" s="10"/>
      <c r="BZ8" t="s">
        <v>938</v>
      </c>
      <c r="CA8"/>
      <c r="CB8" s="34"/>
      <c r="CC8" s="34"/>
      <c r="CD8" s="34"/>
      <c r="CE8" s="141"/>
    </row>
    <row r="9" spans="1:83">
      <c r="A9" s="35" t="s">
        <v>180</v>
      </c>
      <c r="B9" s="9" t="s">
        <v>853</v>
      </c>
      <c r="C9" s="9" t="s">
        <v>54</v>
      </c>
      <c r="D9" s="10" t="s">
        <v>1</v>
      </c>
      <c r="E9" s="9" t="s">
        <v>115</v>
      </c>
      <c r="F9" s="36" t="s">
        <v>99</v>
      </c>
      <c r="G9" s="9" t="s">
        <v>100</v>
      </c>
      <c r="H9" s="3" t="s">
        <v>128</v>
      </c>
      <c r="I9" s="9" t="s">
        <v>100</v>
      </c>
      <c r="J9" s="36" t="s">
        <v>101</v>
      </c>
      <c r="K9" s="10" t="s">
        <v>559</v>
      </c>
      <c r="L9" s="10" t="s">
        <v>559</v>
      </c>
      <c r="M9" s="9" t="s">
        <v>100</v>
      </c>
      <c r="N9" s="10" t="s">
        <v>426</v>
      </c>
      <c r="O9" s="9" t="s">
        <v>100</v>
      </c>
      <c r="P9" s="10"/>
      <c r="Q9" s="10" t="s">
        <v>426</v>
      </c>
      <c r="R9" s="10" t="s">
        <v>119</v>
      </c>
      <c r="S9" s="10" t="s">
        <v>130</v>
      </c>
      <c r="T9" s="10" t="s">
        <v>120</v>
      </c>
      <c r="U9" s="10" t="s">
        <v>101</v>
      </c>
      <c r="V9" s="10" t="s">
        <v>121</v>
      </c>
      <c r="W9" s="10" t="s">
        <v>122</v>
      </c>
      <c r="X9" s="10" t="s">
        <v>123</v>
      </c>
      <c r="Y9" s="29">
        <v>1</v>
      </c>
      <c r="Z9" s="138" t="s">
        <v>561</v>
      </c>
      <c r="AA9" s="138">
        <v>38071</v>
      </c>
      <c r="AB9" s="9" t="s">
        <v>114</v>
      </c>
      <c r="AC9" s="9" t="s">
        <v>124</v>
      </c>
      <c r="AD9" s="15">
        <v>44651</v>
      </c>
      <c r="AE9" s="39" t="s">
        <v>125</v>
      </c>
      <c r="AF9" s="177">
        <v>6</v>
      </c>
      <c r="AG9" s="140">
        <v>0</v>
      </c>
      <c r="AH9" s="9">
        <v>0</v>
      </c>
      <c r="AI9" s="10" t="s">
        <v>126</v>
      </c>
      <c r="AJ9" s="10"/>
      <c r="AK9" s="29"/>
      <c r="AL9" s="12">
        <v>1</v>
      </c>
      <c r="AM9" s="10"/>
      <c r="AN9" s="12">
        <f>FAR[[#This Row],[Opening RUL]]+FAR[[#This Row],[RUL Adjustment]]</f>
        <v>1</v>
      </c>
      <c r="AO9" s="12">
        <f>FAR[[#This Row],[Opening RUL 30 June 2026]]-1</f>
        <v>0</v>
      </c>
      <c r="AP9" s="12" t="s">
        <v>1051</v>
      </c>
      <c r="AQ9" s="139"/>
      <c r="AR9" s="10" t="s">
        <v>127</v>
      </c>
      <c r="AS9" s="13">
        <v>6460.38</v>
      </c>
      <c r="AT9" s="13"/>
      <c r="AU9" s="13">
        <v>0</v>
      </c>
      <c r="AV9" s="13">
        <v>0</v>
      </c>
      <c r="AW9" s="13">
        <v>0</v>
      </c>
      <c r="AX9" s="13">
        <v>6460.38</v>
      </c>
      <c r="AY9" s="13">
        <v>358.91000000000076</v>
      </c>
      <c r="AZ9" s="13">
        <v>0</v>
      </c>
      <c r="BA9" s="13"/>
      <c r="BB9" s="13"/>
      <c r="BC9" s="13">
        <v>-6101.4699999999993</v>
      </c>
      <c r="BD9" s="13"/>
      <c r="BE9" s="13" t="s">
        <v>114</v>
      </c>
      <c r="BF9" s="29"/>
      <c r="BG9" s="13"/>
      <c r="BH9" s="13">
        <f>-FAR[[#This Row],[Carrying value (opening balance)]]/FAR[[#This Row],[Opening RUL 30 June 2026]]</f>
        <v>-358.91000000000076</v>
      </c>
      <c r="BI9" s="13">
        <f>FAR[[#This Row],[Depreciation YTD]]/12</f>
        <v>-29.909166666666732</v>
      </c>
      <c r="BJ9" s="13"/>
      <c r="BK9" s="13" t="s">
        <v>116</v>
      </c>
      <c r="BL9" s="13">
        <v>0</v>
      </c>
      <c r="BM9" s="13">
        <f>FAR[[#This Row],[Accumulated depreciation (Opening balance)]]+FAR[[#This Row],[Depreciation YTD]]+FAR[[#This Row],[Derecognitions (acc dep) '[+']]]</f>
        <v>-6460.38</v>
      </c>
      <c r="BN9" s="13"/>
      <c r="BO9" s="13"/>
      <c r="BP9" s="13"/>
      <c r="BQ9" s="13"/>
      <c r="BR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9" s="13">
        <f>FAR[[#This Row],[Cost Price (closing balance)]]+FAR[[#This Row],[Accumulated depreciation (Closing balance)]]+FAR[[#This Row],[Accumulated impairments (Closing balance)]]</f>
        <v>0</v>
      </c>
      <c r="BT9" s="13"/>
      <c r="BU9" s="13"/>
      <c r="BV9" s="13"/>
      <c r="BW9" s="10" t="s">
        <v>167</v>
      </c>
      <c r="BX9" s="9" t="s">
        <v>168</v>
      </c>
      <c r="BY9" s="10"/>
      <c r="BZ9" t="s">
        <v>939</v>
      </c>
      <c r="CA9"/>
      <c r="CB9" s="34"/>
      <c r="CC9" s="34"/>
      <c r="CD9" s="34"/>
      <c r="CE9" s="141"/>
    </row>
    <row r="10" spans="1:83">
      <c r="A10" s="35" t="s">
        <v>181</v>
      </c>
      <c r="B10" s="9" t="s">
        <v>854</v>
      </c>
      <c r="C10" s="9" t="s">
        <v>54</v>
      </c>
      <c r="D10" s="10" t="s">
        <v>1</v>
      </c>
      <c r="E10" s="9" t="s">
        <v>115</v>
      </c>
      <c r="F10" s="36" t="s">
        <v>99</v>
      </c>
      <c r="G10" s="9" t="s">
        <v>100</v>
      </c>
      <c r="H10" s="3" t="s">
        <v>128</v>
      </c>
      <c r="I10" s="9" t="s">
        <v>100</v>
      </c>
      <c r="J10" s="36" t="s">
        <v>101</v>
      </c>
      <c r="K10" s="10" t="s">
        <v>559</v>
      </c>
      <c r="L10" s="10" t="s">
        <v>559</v>
      </c>
      <c r="M10" s="9" t="s">
        <v>100</v>
      </c>
      <c r="N10" s="10" t="s">
        <v>427</v>
      </c>
      <c r="O10" s="9" t="s">
        <v>100</v>
      </c>
      <c r="P10" s="10"/>
      <c r="Q10" s="10" t="s">
        <v>427</v>
      </c>
      <c r="R10" s="10" t="s">
        <v>119</v>
      </c>
      <c r="S10" s="10" t="s">
        <v>130</v>
      </c>
      <c r="T10" s="10" t="s">
        <v>120</v>
      </c>
      <c r="U10" s="10" t="s">
        <v>101</v>
      </c>
      <c r="V10" s="10" t="s">
        <v>121</v>
      </c>
      <c r="W10" s="10" t="s">
        <v>122</v>
      </c>
      <c r="X10" s="10" t="s">
        <v>123</v>
      </c>
      <c r="Y10" s="29">
        <v>1</v>
      </c>
      <c r="Z10" s="138" t="s">
        <v>561</v>
      </c>
      <c r="AA10" s="138">
        <v>38071</v>
      </c>
      <c r="AB10" s="9" t="s">
        <v>114</v>
      </c>
      <c r="AC10" s="9" t="s">
        <v>124</v>
      </c>
      <c r="AD10" s="15">
        <v>44651</v>
      </c>
      <c r="AE10" s="39" t="s">
        <v>125</v>
      </c>
      <c r="AF10" s="177">
        <v>6</v>
      </c>
      <c r="AG10" s="140">
        <v>0</v>
      </c>
      <c r="AH10" s="9">
        <v>0</v>
      </c>
      <c r="AI10" s="10" t="s">
        <v>126</v>
      </c>
      <c r="AJ10" s="10"/>
      <c r="AK10" s="29"/>
      <c r="AL10" s="12">
        <v>1</v>
      </c>
      <c r="AM10" s="10"/>
      <c r="AN10" s="12">
        <f>FAR[[#This Row],[Opening RUL]]+FAR[[#This Row],[RUL Adjustment]]</f>
        <v>1</v>
      </c>
      <c r="AO10" s="12">
        <f>FAR[[#This Row],[Opening RUL 30 June 2026]]-1</f>
        <v>0</v>
      </c>
      <c r="AP10" s="12" t="s">
        <v>1053</v>
      </c>
      <c r="AQ10" s="139"/>
      <c r="AR10" s="10" t="s">
        <v>127</v>
      </c>
      <c r="AS10" s="13">
        <v>3780.24</v>
      </c>
      <c r="AT10" s="13"/>
      <c r="AU10" s="13">
        <v>0</v>
      </c>
      <c r="AV10" s="13">
        <v>0</v>
      </c>
      <c r="AW10" s="13">
        <v>0</v>
      </c>
      <c r="AX10" s="13">
        <v>3780.24</v>
      </c>
      <c r="AY10" s="13">
        <v>210.01333333333332</v>
      </c>
      <c r="AZ10" s="13">
        <v>0</v>
      </c>
      <c r="BA10" s="13"/>
      <c r="BB10" s="13"/>
      <c r="BC10" s="13">
        <v>-3570.2266666666665</v>
      </c>
      <c r="BD10" s="13"/>
      <c r="BE10" s="13" t="s">
        <v>114</v>
      </c>
      <c r="BF10" s="29"/>
      <c r="BG10" s="13"/>
      <c r="BH10" s="13">
        <f>-FAR[[#This Row],[Carrying value (opening balance)]]/FAR[[#This Row],[Opening RUL 30 June 2026]]</f>
        <v>-210.01333333333332</v>
      </c>
      <c r="BI10" s="13">
        <f>FAR[[#This Row],[Depreciation YTD]]/12</f>
        <v>-17.501111111111111</v>
      </c>
      <c r="BJ10" s="13"/>
      <c r="BK10" s="13" t="s">
        <v>116</v>
      </c>
      <c r="BL10" s="13">
        <v>0</v>
      </c>
      <c r="BM10" s="13">
        <f>FAR[[#This Row],[Accumulated depreciation (Opening balance)]]+FAR[[#This Row],[Depreciation YTD]]+FAR[[#This Row],[Derecognitions (acc dep) '[+']]]</f>
        <v>-3780.24</v>
      </c>
      <c r="BN10" s="13"/>
      <c r="BO10" s="13"/>
      <c r="BP10" s="13"/>
      <c r="BQ10" s="13"/>
      <c r="BR1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0" s="13">
        <f>FAR[[#This Row],[Cost Price (closing balance)]]+FAR[[#This Row],[Accumulated depreciation (Closing balance)]]+FAR[[#This Row],[Accumulated impairments (Closing balance)]]</f>
        <v>0</v>
      </c>
      <c r="BT10" s="13"/>
      <c r="BU10" s="13"/>
      <c r="BV10" s="13"/>
      <c r="BW10" s="10" t="s">
        <v>167</v>
      </c>
      <c r="BX10" s="9" t="s">
        <v>168</v>
      </c>
      <c r="BY10" s="10"/>
      <c r="BZ10" t="s">
        <v>940</v>
      </c>
      <c r="CA10"/>
      <c r="CB10" s="34"/>
      <c r="CC10" s="34"/>
      <c r="CD10" s="34"/>
      <c r="CE10" s="141"/>
    </row>
    <row r="11" spans="1:83">
      <c r="A11" s="35" t="s">
        <v>182</v>
      </c>
      <c r="B11" s="9" t="s">
        <v>855</v>
      </c>
      <c r="C11" s="9" t="s">
        <v>54</v>
      </c>
      <c r="D11" s="10" t="s">
        <v>1</v>
      </c>
      <c r="E11" s="9" t="s">
        <v>115</v>
      </c>
      <c r="F11" s="36" t="s">
        <v>99</v>
      </c>
      <c r="G11" s="9" t="s">
        <v>100</v>
      </c>
      <c r="H11" s="3" t="s">
        <v>128</v>
      </c>
      <c r="I11" s="9" t="s">
        <v>100</v>
      </c>
      <c r="J11" s="36" t="s">
        <v>101</v>
      </c>
      <c r="K11" s="10" t="s">
        <v>559</v>
      </c>
      <c r="L11" s="10" t="s">
        <v>559</v>
      </c>
      <c r="M11" s="9" t="s">
        <v>100</v>
      </c>
      <c r="N11" s="10" t="s">
        <v>428</v>
      </c>
      <c r="O11" s="9" t="s">
        <v>100</v>
      </c>
      <c r="P11" s="10"/>
      <c r="Q11" s="10" t="s">
        <v>428</v>
      </c>
      <c r="R11" s="10" t="s">
        <v>119</v>
      </c>
      <c r="S11" s="10" t="s">
        <v>130</v>
      </c>
      <c r="T11" s="10" t="s">
        <v>120</v>
      </c>
      <c r="U11" s="10" t="s">
        <v>101</v>
      </c>
      <c r="V11" s="10" t="s">
        <v>121</v>
      </c>
      <c r="W11" s="10" t="s">
        <v>122</v>
      </c>
      <c r="X11" s="10" t="s">
        <v>123</v>
      </c>
      <c r="Y11" s="29">
        <v>1</v>
      </c>
      <c r="Z11" s="138" t="s">
        <v>561</v>
      </c>
      <c r="AA11" s="138">
        <v>38071</v>
      </c>
      <c r="AB11" s="9" t="s">
        <v>114</v>
      </c>
      <c r="AC11" s="9" t="s">
        <v>124</v>
      </c>
      <c r="AD11" s="15">
        <v>44651</v>
      </c>
      <c r="AE11" s="39" t="s">
        <v>125</v>
      </c>
      <c r="AF11" s="177">
        <v>6</v>
      </c>
      <c r="AG11" s="140">
        <v>0</v>
      </c>
      <c r="AH11" s="9">
        <v>0</v>
      </c>
      <c r="AI11" s="10" t="s">
        <v>126</v>
      </c>
      <c r="AJ11" s="10"/>
      <c r="AK11" s="29"/>
      <c r="AL11" s="12">
        <v>1</v>
      </c>
      <c r="AM11" s="10"/>
      <c r="AN11" s="12">
        <f>FAR[[#This Row],[Opening RUL]]+FAR[[#This Row],[RUL Adjustment]]</f>
        <v>1</v>
      </c>
      <c r="AO11" s="12">
        <f>FAR[[#This Row],[Opening RUL 30 June 2026]]-1</f>
        <v>0</v>
      </c>
      <c r="AP11" s="12" t="s">
        <v>1051</v>
      </c>
      <c r="AQ11" s="139"/>
      <c r="AR11" s="10" t="s">
        <v>127</v>
      </c>
      <c r="AS11" s="13">
        <v>2560.44</v>
      </c>
      <c r="AT11" s="13"/>
      <c r="AU11" s="13">
        <v>0</v>
      </c>
      <c r="AV11" s="13">
        <v>0</v>
      </c>
      <c r="AW11" s="13">
        <v>0</v>
      </c>
      <c r="AX11" s="13">
        <v>2560.44</v>
      </c>
      <c r="AY11" s="13">
        <v>142.24666666666644</v>
      </c>
      <c r="AZ11" s="13">
        <v>0</v>
      </c>
      <c r="BA11" s="13"/>
      <c r="BB11" s="13"/>
      <c r="BC11" s="13">
        <v>-2418.1933333333336</v>
      </c>
      <c r="BD11" s="13"/>
      <c r="BE11" s="13" t="s">
        <v>114</v>
      </c>
      <c r="BF11" s="29"/>
      <c r="BG11" s="13"/>
      <c r="BH11" s="13">
        <f>-FAR[[#This Row],[Carrying value (opening balance)]]/FAR[[#This Row],[Opening RUL 30 June 2026]]</f>
        <v>-142.24666666666644</v>
      </c>
      <c r="BI11" s="13">
        <f>FAR[[#This Row],[Depreciation YTD]]/12</f>
        <v>-11.85388888888887</v>
      </c>
      <c r="BJ11" s="13"/>
      <c r="BK11" s="13" t="s">
        <v>116</v>
      </c>
      <c r="BL11" s="13">
        <v>0</v>
      </c>
      <c r="BM11" s="13">
        <f>FAR[[#This Row],[Accumulated depreciation (Opening balance)]]+FAR[[#This Row],[Depreciation YTD]]+FAR[[#This Row],[Derecognitions (acc dep) '[+']]]</f>
        <v>-2560.44</v>
      </c>
      <c r="BN11" s="13"/>
      <c r="BO11" s="13"/>
      <c r="BP11" s="13"/>
      <c r="BQ11" s="13"/>
      <c r="BR1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1" s="13">
        <f>FAR[[#This Row],[Cost Price (closing balance)]]+FAR[[#This Row],[Accumulated depreciation (Closing balance)]]+FAR[[#This Row],[Accumulated impairments (Closing balance)]]</f>
        <v>0</v>
      </c>
      <c r="BT11" s="13"/>
      <c r="BU11" s="13"/>
      <c r="BV11" s="13"/>
      <c r="BW11" s="10" t="s">
        <v>167</v>
      </c>
      <c r="BX11" s="9" t="s">
        <v>168</v>
      </c>
      <c r="BY11" s="10"/>
      <c r="BZ11" t="s">
        <v>941</v>
      </c>
      <c r="CA11"/>
      <c r="CB11" s="34"/>
      <c r="CC11" s="34"/>
      <c r="CD11" s="34"/>
      <c r="CE11" s="141"/>
    </row>
    <row r="12" spans="1:83">
      <c r="A12" s="35" t="s">
        <v>183</v>
      </c>
      <c r="B12" s="9" t="s">
        <v>853</v>
      </c>
      <c r="C12" s="9" t="s">
        <v>54</v>
      </c>
      <c r="D12" s="10" t="s">
        <v>1</v>
      </c>
      <c r="E12" s="9" t="s">
        <v>115</v>
      </c>
      <c r="F12" s="36" t="s">
        <v>99</v>
      </c>
      <c r="G12" s="9" t="s">
        <v>100</v>
      </c>
      <c r="H12" s="3" t="s">
        <v>128</v>
      </c>
      <c r="I12" s="9" t="s">
        <v>100</v>
      </c>
      <c r="J12" s="36" t="s">
        <v>101</v>
      </c>
      <c r="K12" s="10" t="s">
        <v>559</v>
      </c>
      <c r="L12" s="10" t="s">
        <v>559</v>
      </c>
      <c r="M12" s="9" t="s">
        <v>100</v>
      </c>
      <c r="N12" s="10" t="s">
        <v>428</v>
      </c>
      <c r="O12" s="9" t="s">
        <v>100</v>
      </c>
      <c r="P12" s="10"/>
      <c r="Q12" s="10" t="s">
        <v>428</v>
      </c>
      <c r="R12" s="10" t="s">
        <v>119</v>
      </c>
      <c r="S12" s="10" t="s">
        <v>130</v>
      </c>
      <c r="T12" s="10" t="s">
        <v>120</v>
      </c>
      <c r="U12" s="10" t="s">
        <v>101</v>
      </c>
      <c r="V12" s="10" t="s">
        <v>121</v>
      </c>
      <c r="W12" s="10" t="s">
        <v>122</v>
      </c>
      <c r="X12" s="10" t="s">
        <v>123</v>
      </c>
      <c r="Y12" s="29">
        <v>1</v>
      </c>
      <c r="Z12" s="138" t="s">
        <v>561</v>
      </c>
      <c r="AA12" s="138">
        <v>38071</v>
      </c>
      <c r="AB12" s="9" t="s">
        <v>114</v>
      </c>
      <c r="AC12" s="9" t="s">
        <v>124</v>
      </c>
      <c r="AD12" s="15">
        <v>44651</v>
      </c>
      <c r="AE12" s="39" t="s">
        <v>125</v>
      </c>
      <c r="AF12" s="177">
        <v>6</v>
      </c>
      <c r="AG12" s="140">
        <v>0</v>
      </c>
      <c r="AH12" s="9">
        <v>0</v>
      </c>
      <c r="AI12" s="10" t="s">
        <v>126</v>
      </c>
      <c r="AJ12" s="10"/>
      <c r="AK12" s="29"/>
      <c r="AL12" s="12">
        <v>1</v>
      </c>
      <c r="AM12" s="10"/>
      <c r="AN12" s="12">
        <f>FAR[[#This Row],[Opening RUL]]+FAR[[#This Row],[RUL Adjustment]]</f>
        <v>1</v>
      </c>
      <c r="AO12" s="12">
        <f>FAR[[#This Row],[Opening RUL 30 June 2026]]-1</f>
        <v>0</v>
      </c>
      <c r="AP12" s="12" t="s">
        <v>1050</v>
      </c>
      <c r="AQ12" s="139"/>
      <c r="AR12" s="10" t="s">
        <v>127</v>
      </c>
      <c r="AS12" s="13">
        <v>2560.44</v>
      </c>
      <c r="AT12" s="13"/>
      <c r="AU12" s="13">
        <v>0</v>
      </c>
      <c r="AV12" s="13">
        <v>0</v>
      </c>
      <c r="AW12" s="13">
        <v>0</v>
      </c>
      <c r="AX12" s="13">
        <v>2560.44</v>
      </c>
      <c r="AY12" s="13">
        <v>142.24666666666644</v>
      </c>
      <c r="AZ12" s="13">
        <v>0</v>
      </c>
      <c r="BA12" s="13"/>
      <c r="BB12" s="13"/>
      <c r="BC12" s="13">
        <v>-2418.1933333333336</v>
      </c>
      <c r="BD12" s="13"/>
      <c r="BE12" s="13" t="s">
        <v>114</v>
      </c>
      <c r="BF12" s="29"/>
      <c r="BG12" s="13"/>
      <c r="BH12" s="13">
        <f>-FAR[[#This Row],[Carrying value (opening balance)]]/FAR[[#This Row],[Opening RUL 30 June 2026]]</f>
        <v>-142.24666666666644</v>
      </c>
      <c r="BI12" s="13">
        <f>FAR[[#This Row],[Depreciation YTD]]/12</f>
        <v>-11.85388888888887</v>
      </c>
      <c r="BJ12" s="13"/>
      <c r="BK12" s="13" t="s">
        <v>116</v>
      </c>
      <c r="BL12" s="13">
        <v>0</v>
      </c>
      <c r="BM12" s="13">
        <f>FAR[[#This Row],[Accumulated depreciation (Opening balance)]]+FAR[[#This Row],[Depreciation YTD]]+FAR[[#This Row],[Derecognitions (acc dep) '[+']]]</f>
        <v>-2560.44</v>
      </c>
      <c r="BN12" s="13"/>
      <c r="BO12" s="13"/>
      <c r="BP12" s="13"/>
      <c r="BQ12" s="13"/>
      <c r="BR1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2" s="13">
        <f>FAR[[#This Row],[Cost Price (closing balance)]]+FAR[[#This Row],[Accumulated depreciation (Closing balance)]]+FAR[[#This Row],[Accumulated impairments (Closing balance)]]</f>
        <v>0</v>
      </c>
      <c r="BT12" s="13"/>
      <c r="BU12" s="13"/>
      <c r="BV12" s="13"/>
      <c r="BW12" s="10" t="s">
        <v>167</v>
      </c>
      <c r="BX12" s="9" t="s">
        <v>168</v>
      </c>
      <c r="BY12" s="10"/>
      <c r="BZ12" t="s">
        <v>939</v>
      </c>
      <c r="CA12"/>
      <c r="CB12" s="34"/>
      <c r="CC12" s="34"/>
      <c r="CD12" s="34"/>
      <c r="CE12" s="141"/>
    </row>
    <row r="13" spans="1:83">
      <c r="A13" s="35" t="s">
        <v>184</v>
      </c>
      <c r="B13" s="9" t="s">
        <v>856</v>
      </c>
      <c r="C13" s="9" t="s">
        <v>54</v>
      </c>
      <c r="D13" s="10" t="s">
        <v>1</v>
      </c>
      <c r="E13" s="9" t="s">
        <v>115</v>
      </c>
      <c r="F13" s="36" t="s">
        <v>99</v>
      </c>
      <c r="G13" s="9" t="s">
        <v>100</v>
      </c>
      <c r="H13" s="3" t="s">
        <v>128</v>
      </c>
      <c r="I13" s="9" t="s">
        <v>100</v>
      </c>
      <c r="J13" s="36" t="s">
        <v>101</v>
      </c>
      <c r="K13" s="10" t="s">
        <v>559</v>
      </c>
      <c r="L13" s="10" t="s">
        <v>559</v>
      </c>
      <c r="M13" s="9" t="s">
        <v>100</v>
      </c>
      <c r="N13" s="10" t="s">
        <v>428</v>
      </c>
      <c r="O13" s="9" t="s">
        <v>100</v>
      </c>
      <c r="P13" s="10"/>
      <c r="Q13" s="10" t="s">
        <v>428</v>
      </c>
      <c r="R13" s="10" t="s">
        <v>119</v>
      </c>
      <c r="S13" s="10" t="s">
        <v>130</v>
      </c>
      <c r="T13" s="10" t="s">
        <v>120</v>
      </c>
      <c r="U13" s="10" t="s">
        <v>101</v>
      </c>
      <c r="V13" s="10" t="s">
        <v>121</v>
      </c>
      <c r="W13" s="10" t="s">
        <v>122</v>
      </c>
      <c r="X13" s="10" t="s">
        <v>123</v>
      </c>
      <c r="Y13" s="29">
        <v>1</v>
      </c>
      <c r="Z13" s="138" t="s">
        <v>561</v>
      </c>
      <c r="AA13" s="138">
        <v>38071</v>
      </c>
      <c r="AB13" s="9" t="s">
        <v>114</v>
      </c>
      <c r="AC13" s="9" t="s">
        <v>124</v>
      </c>
      <c r="AD13" s="15">
        <v>44651</v>
      </c>
      <c r="AE13" s="39" t="s">
        <v>125</v>
      </c>
      <c r="AF13" s="177">
        <v>6</v>
      </c>
      <c r="AG13" s="140">
        <v>0</v>
      </c>
      <c r="AH13" s="9">
        <v>0</v>
      </c>
      <c r="AI13" s="10" t="s">
        <v>126</v>
      </c>
      <c r="AJ13" s="10"/>
      <c r="AK13" s="29"/>
      <c r="AL13" s="12">
        <v>1</v>
      </c>
      <c r="AM13" s="10"/>
      <c r="AN13" s="12">
        <f>FAR[[#This Row],[Opening RUL]]+FAR[[#This Row],[RUL Adjustment]]</f>
        <v>1</v>
      </c>
      <c r="AO13" s="12">
        <f>FAR[[#This Row],[Opening RUL 30 June 2026]]-1</f>
        <v>0</v>
      </c>
      <c r="AP13" s="12" t="s">
        <v>1051</v>
      </c>
      <c r="AQ13" s="139"/>
      <c r="AR13" s="10" t="s">
        <v>127</v>
      </c>
      <c r="AS13" s="13">
        <v>2560.44</v>
      </c>
      <c r="AT13" s="13"/>
      <c r="AU13" s="13">
        <v>0</v>
      </c>
      <c r="AV13" s="13">
        <v>0</v>
      </c>
      <c r="AW13" s="13">
        <v>0</v>
      </c>
      <c r="AX13" s="13">
        <v>2560.44</v>
      </c>
      <c r="AY13" s="13">
        <v>142.24666666666644</v>
      </c>
      <c r="AZ13" s="13">
        <v>0</v>
      </c>
      <c r="BA13" s="13"/>
      <c r="BB13" s="13"/>
      <c r="BC13" s="13">
        <v>-2418.1933333333336</v>
      </c>
      <c r="BD13" s="13"/>
      <c r="BE13" s="13" t="s">
        <v>114</v>
      </c>
      <c r="BF13" s="29"/>
      <c r="BG13" s="13"/>
      <c r="BH13" s="13">
        <f>-FAR[[#This Row],[Carrying value (opening balance)]]/FAR[[#This Row],[Opening RUL 30 June 2026]]</f>
        <v>-142.24666666666644</v>
      </c>
      <c r="BI13" s="13">
        <f>FAR[[#This Row],[Depreciation YTD]]/12</f>
        <v>-11.85388888888887</v>
      </c>
      <c r="BJ13" s="13"/>
      <c r="BK13" s="13" t="s">
        <v>116</v>
      </c>
      <c r="BL13" s="13">
        <v>0</v>
      </c>
      <c r="BM13" s="13">
        <f>FAR[[#This Row],[Accumulated depreciation (Opening balance)]]+FAR[[#This Row],[Depreciation YTD]]+FAR[[#This Row],[Derecognitions (acc dep) '[+']]]</f>
        <v>-2560.44</v>
      </c>
      <c r="BN13" s="13"/>
      <c r="BO13" s="13"/>
      <c r="BP13" s="13"/>
      <c r="BQ13" s="13"/>
      <c r="BR1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3" s="13">
        <f>FAR[[#This Row],[Cost Price (closing balance)]]+FAR[[#This Row],[Accumulated depreciation (Closing balance)]]+FAR[[#This Row],[Accumulated impairments (Closing balance)]]</f>
        <v>0</v>
      </c>
      <c r="BT13" s="13"/>
      <c r="BU13" s="13"/>
      <c r="BV13" s="13"/>
      <c r="BW13" s="10" t="s">
        <v>167</v>
      </c>
      <c r="BX13" s="9" t="s">
        <v>168</v>
      </c>
      <c r="BY13" s="10"/>
      <c r="BZ13" t="s">
        <v>940</v>
      </c>
      <c r="CA13"/>
      <c r="CB13" s="34"/>
      <c r="CC13" s="34"/>
      <c r="CD13" s="34"/>
      <c r="CE13" s="141"/>
    </row>
    <row r="14" spans="1:83">
      <c r="A14" s="35" t="s">
        <v>185</v>
      </c>
      <c r="B14" s="9" t="s">
        <v>851</v>
      </c>
      <c r="C14" s="9" t="s">
        <v>54</v>
      </c>
      <c r="D14" s="10" t="s">
        <v>1</v>
      </c>
      <c r="E14" s="9" t="s">
        <v>115</v>
      </c>
      <c r="F14" s="36" t="s">
        <v>99</v>
      </c>
      <c r="G14" s="9" t="s">
        <v>100</v>
      </c>
      <c r="H14" s="3" t="s">
        <v>128</v>
      </c>
      <c r="I14" s="9" t="s">
        <v>100</v>
      </c>
      <c r="J14" s="36" t="s">
        <v>101</v>
      </c>
      <c r="K14" s="10" t="s">
        <v>559</v>
      </c>
      <c r="L14" s="10" t="s">
        <v>559</v>
      </c>
      <c r="M14" s="9" t="s">
        <v>100</v>
      </c>
      <c r="N14" s="10" t="s">
        <v>429</v>
      </c>
      <c r="O14" s="9" t="s">
        <v>100</v>
      </c>
      <c r="P14" s="10"/>
      <c r="Q14" s="10" t="s">
        <v>429</v>
      </c>
      <c r="R14" s="10" t="s">
        <v>119</v>
      </c>
      <c r="S14" s="10" t="s">
        <v>130</v>
      </c>
      <c r="T14" s="10" t="s">
        <v>120</v>
      </c>
      <c r="U14" s="10" t="s">
        <v>101</v>
      </c>
      <c r="V14" s="10" t="s">
        <v>121</v>
      </c>
      <c r="W14" s="10" t="s">
        <v>122</v>
      </c>
      <c r="X14" s="10" t="s">
        <v>123</v>
      </c>
      <c r="Y14" s="29">
        <v>1</v>
      </c>
      <c r="Z14" s="138" t="s">
        <v>561</v>
      </c>
      <c r="AA14" s="138">
        <v>38071</v>
      </c>
      <c r="AB14" s="9" t="s">
        <v>114</v>
      </c>
      <c r="AC14" s="9" t="s">
        <v>124</v>
      </c>
      <c r="AD14" s="15">
        <v>44651</v>
      </c>
      <c r="AE14" s="39" t="s">
        <v>125</v>
      </c>
      <c r="AF14" s="177">
        <v>6</v>
      </c>
      <c r="AG14" s="140">
        <v>0</v>
      </c>
      <c r="AH14" s="9">
        <v>0</v>
      </c>
      <c r="AI14" s="10" t="s">
        <v>126</v>
      </c>
      <c r="AJ14" s="10"/>
      <c r="AK14" s="29"/>
      <c r="AL14" s="12">
        <v>1</v>
      </c>
      <c r="AM14" s="10"/>
      <c r="AN14" s="12">
        <f>FAR[[#This Row],[Opening RUL]]+FAR[[#This Row],[RUL Adjustment]]</f>
        <v>1</v>
      </c>
      <c r="AO14" s="12">
        <f>FAR[[#This Row],[Opening RUL 30 June 2026]]-1</f>
        <v>0</v>
      </c>
      <c r="AP14" s="12" t="s">
        <v>1050</v>
      </c>
      <c r="AQ14" s="139"/>
      <c r="AR14" s="10" t="s">
        <v>127</v>
      </c>
      <c r="AS14" s="13">
        <v>2560.44</v>
      </c>
      <c r="AT14" s="13"/>
      <c r="AU14" s="13">
        <v>0</v>
      </c>
      <c r="AV14" s="13">
        <v>0</v>
      </c>
      <c r="AW14" s="13">
        <v>0</v>
      </c>
      <c r="AX14" s="13">
        <v>2560.44</v>
      </c>
      <c r="AY14" s="13">
        <v>142.24666666666644</v>
      </c>
      <c r="AZ14" s="13">
        <v>0</v>
      </c>
      <c r="BA14" s="13"/>
      <c r="BB14" s="13"/>
      <c r="BC14" s="13">
        <v>-2418.1933333333336</v>
      </c>
      <c r="BD14" s="13"/>
      <c r="BE14" s="13" t="s">
        <v>114</v>
      </c>
      <c r="BF14" s="29"/>
      <c r="BG14" s="13"/>
      <c r="BH14" s="13">
        <f>-FAR[[#This Row],[Carrying value (opening balance)]]/FAR[[#This Row],[Opening RUL 30 June 2026]]</f>
        <v>-142.24666666666644</v>
      </c>
      <c r="BI14" s="13">
        <f>FAR[[#This Row],[Depreciation YTD]]/12</f>
        <v>-11.85388888888887</v>
      </c>
      <c r="BJ14" s="13"/>
      <c r="BK14" s="13" t="s">
        <v>116</v>
      </c>
      <c r="BL14" s="13">
        <v>0</v>
      </c>
      <c r="BM14" s="13">
        <f>FAR[[#This Row],[Accumulated depreciation (Opening balance)]]+FAR[[#This Row],[Depreciation YTD]]+FAR[[#This Row],[Derecognitions (acc dep) '[+']]]</f>
        <v>-2560.44</v>
      </c>
      <c r="BN14" s="13"/>
      <c r="BO14" s="13"/>
      <c r="BP14" s="13"/>
      <c r="BQ14" s="13"/>
      <c r="BR1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4" s="13">
        <f>FAR[[#This Row],[Cost Price (closing balance)]]+FAR[[#This Row],[Accumulated depreciation (Closing balance)]]+FAR[[#This Row],[Accumulated impairments (Closing balance)]]</f>
        <v>0</v>
      </c>
      <c r="BT14" s="13"/>
      <c r="BU14" s="13"/>
      <c r="BV14" s="13"/>
      <c r="BW14" s="10" t="s">
        <v>167</v>
      </c>
      <c r="BX14" s="9" t="s">
        <v>168</v>
      </c>
      <c r="BY14" s="10"/>
      <c r="BZ14" t="s">
        <v>938</v>
      </c>
      <c r="CA14"/>
      <c r="CB14" s="34"/>
      <c r="CC14" s="34"/>
      <c r="CD14" s="34"/>
      <c r="CE14" s="141"/>
    </row>
    <row r="15" spans="1:83">
      <c r="A15" s="35" t="s">
        <v>186</v>
      </c>
      <c r="B15" s="9" t="s">
        <v>857</v>
      </c>
      <c r="C15" s="9" t="s">
        <v>54</v>
      </c>
      <c r="D15" s="10" t="s">
        <v>1</v>
      </c>
      <c r="E15" s="9" t="s">
        <v>115</v>
      </c>
      <c r="F15" s="36" t="s">
        <v>99</v>
      </c>
      <c r="G15" s="9" t="s">
        <v>100</v>
      </c>
      <c r="H15" s="3" t="s">
        <v>128</v>
      </c>
      <c r="I15" s="9" t="s">
        <v>100</v>
      </c>
      <c r="J15" s="36" t="s">
        <v>101</v>
      </c>
      <c r="K15" s="10" t="s">
        <v>559</v>
      </c>
      <c r="L15" s="10" t="s">
        <v>559</v>
      </c>
      <c r="M15" s="9" t="s">
        <v>100</v>
      </c>
      <c r="N15" s="10" t="s">
        <v>430</v>
      </c>
      <c r="O15" s="9" t="s">
        <v>100</v>
      </c>
      <c r="P15" s="10"/>
      <c r="Q15" s="10" t="s">
        <v>430</v>
      </c>
      <c r="R15" s="10" t="s">
        <v>119</v>
      </c>
      <c r="S15" s="10" t="s">
        <v>130</v>
      </c>
      <c r="T15" s="10" t="s">
        <v>120</v>
      </c>
      <c r="U15" s="10" t="s">
        <v>101</v>
      </c>
      <c r="V15" s="10" t="s">
        <v>121</v>
      </c>
      <c r="W15" s="10" t="s">
        <v>122</v>
      </c>
      <c r="X15" s="10" t="s">
        <v>123</v>
      </c>
      <c r="Y15" s="29">
        <v>1</v>
      </c>
      <c r="Z15" s="138" t="s">
        <v>561</v>
      </c>
      <c r="AA15" s="138">
        <v>38071</v>
      </c>
      <c r="AB15" s="9" t="s">
        <v>114</v>
      </c>
      <c r="AC15" s="9" t="s">
        <v>124</v>
      </c>
      <c r="AD15" s="15">
        <v>44651</v>
      </c>
      <c r="AE15" s="39" t="s">
        <v>125</v>
      </c>
      <c r="AF15" s="177">
        <v>6</v>
      </c>
      <c r="AG15" s="140">
        <v>0</v>
      </c>
      <c r="AH15" s="9">
        <v>0</v>
      </c>
      <c r="AI15" s="10" t="s">
        <v>126</v>
      </c>
      <c r="AJ15" s="10"/>
      <c r="AK15" s="29"/>
      <c r="AL15" s="12">
        <v>1</v>
      </c>
      <c r="AM15" s="10"/>
      <c r="AN15" s="12">
        <f>FAR[[#This Row],[Opening RUL]]+FAR[[#This Row],[RUL Adjustment]]</f>
        <v>1</v>
      </c>
      <c r="AO15" s="12">
        <f>FAR[[#This Row],[Opening RUL 30 June 2026]]-1</f>
        <v>0</v>
      </c>
      <c r="AP15" s="12" t="s">
        <v>1050</v>
      </c>
      <c r="AQ15" s="139"/>
      <c r="AR15" s="10" t="s">
        <v>127</v>
      </c>
      <c r="AS15" s="13">
        <v>2046.3</v>
      </c>
      <c r="AT15" s="13"/>
      <c r="AU15" s="13">
        <v>0</v>
      </c>
      <c r="AV15" s="13">
        <v>0</v>
      </c>
      <c r="AW15" s="13">
        <v>0</v>
      </c>
      <c r="AX15" s="13">
        <v>2046.3</v>
      </c>
      <c r="AY15" s="13">
        <v>113.68333333333317</v>
      </c>
      <c r="AZ15" s="13">
        <v>0</v>
      </c>
      <c r="BA15" s="13"/>
      <c r="BB15" s="13"/>
      <c r="BC15" s="13">
        <v>-1932.6166666666668</v>
      </c>
      <c r="BD15" s="13"/>
      <c r="BE15" s="13" t="s">
        <v>114</v>
      </c>
      <c r="BF15" s="29"/>
      <c r="BG15" s="13"/>
      <c r="BH15" s="13">
        <f>-FAR[[#This Row],[Carrying value (opening balance)]]/FAR[[#This Row],[Opening RUL 30 June 2026]]</f>
        <v>-113.68333333333317</v>
      </c>
      <c r="BI15" s="13">
        <f>FAR[[#This Row],[Depreciation YTD]]/12</f>
        <v>-9.4736111111110972</v>
      </c>
      <c r="BJ15" s="13"/>
      <c r="BK15" s="13" t="s">
        <v>116</v>
      </c>
      <c r="BL15" s="13">
        <v>0</v>
      </c>
      <c r="BM15" s="13">
        <f>FAR[[#This Row],[Accumulated depreciation (Opening balance)]]+FAR[[#This Row],[Depreciation YTD]]+FAR[[#This Row],[Derecognitions (acc dep) '[+']]]</f>
        <v>-2046.3</v>
      </c>
      <c r="BN15" s="13"/>
      <c r="BO15" s="13"/>
      <c r="BP15" s="13"/>
      <c r="BQ15" s="13"/>
      <c r="BR1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5" s="13">
        <f>FAR[[#This Row],[Cost Price (closing balance)]]+FAR[[#This Row],[Accumulated depreciation (Closing balance)]]+FAR[[#This Row],[Accumulated impairments (Closing balance)]]</f>
        <v>0</v>
      </c>
      <c r="BT15" s="13"/>
      <c r="BU15" s="13"/>
      <c r="BV15" s="13"/>
      <c r="BW15" s="10" t="s">
        <v>167</v>
      </c>
      <c r="BX15" s="9" t="s">
        <v>168</v>
      </c>
      <c r="BY15" s="10"/>
      <c r="BZ15" t="s">
        <v>942</v>
      </c>
      <c r="CA15"/>
      <c r="CB15" s="34"/>
      <c r="CC15" s="34"/>
      <c r="CD15" s="34"/>
      <c r="CE15" s="141"/>
    </row>
    <row r="16" spans="1:83">
      <c r="A16" s="35" t="s">
        <v>187</v>
      </c>
      <c r="B16" s="9" t="s">
        <v>858</v>
      </c>
      <c r="C16" s="9" t="s">
        <v>54</v>
      </c>
      <c r="D16" s="10" t="s">
        <v>1</v>
      </c>
      <c r="E16" s="9" t="s">
        <v>115</v>
      </c>
      <c r="F16" s="36" t="s">
        <v>99</v>
      </c>
      <c r="G16" s="9" t="s">
        <v>100</v>
      </c>
      <c r="H16" s="3" t="s">
        <v>128</v>
      </c>
      <c r="I16" s="9" t="s">
        <v>100</v>
      </c>
      <c r="J16" s="36" t="s">
        <v>101</v>
      </c>
      <c r="K16" s="10" t="s">
        <v>559</v>
      </c>
      <c r="L16" s="10" t="s">
        <v>559</v>
      </c>
      <c r="M16" s="9" t="s">
        <v>100</v>
      </c>
      <c r="N16" s="10" t="s">
        <v>431</v>
      </c>
      <c r="O16" s="9" t="s">
        <v>100</v>
      </c>
      <c r="P16" s="10"/>
      <c r="Q16" s="10" t="s">
        <v>431</v>
      </c>
      <c r="R16" s="10" t="s">
        <v>119</v>
      </c>
      <c r="S16" s="10" t="s">
        <v>130</v>
      </c>
      <c r="T16" s="10" t="s">
        <v>120</v>
      </c>
      <c r="U16" s="10" t="s">
        <v>101</v>
      </c>
      <c r="V16" s="10" t="s">
        <v>121</v>
      </c>
      <c r="W16" s="10" t="s">
        <v>122</v>
      </c>
      <c r="X16" s="10" t="s">
        <v>123</v>
      </c>
      <c r="Y16" s="29">
        <v>1</v>
      </c>
      <c r="Z16" s="138" t="s">
        <v>561</v>
      </c>
      <c r="AA16" s="138">
        <v>38071</v>
      </c>
      <c r="AB16" s="9" t="s">
        <v>114</v>
      </c>
      <c r="AC16" s="9" t="s">
        <v>124</v>
      </c>
      <c r="AD16" s="15">
        <v>44651</v>
      </c>
      <c r="AE16" s="39" t="s">
        <v>125</v>
      </c>
      <c r="AF16" s="177">
        <v>6</v>
      </c>
      <c r="AG16" s="140">
        <v>0</v>
      </c>
      <c r="AH16" s="9">
        <v>0</v>
      </c>
      <c r="AI16" s="10" t="s">
        <v>126</v>
      </c>
      <c r="AJ16" s="10"/>
      <c r="AK16" s="29"/>
      <c r="AL16" s="12">
        <v>1</v>
      </c>
      <c r="AM16" s="10"/>
      <c r="AN16" s="12">
        <f>FAR[[#This Row],[Opening RUL]]+FAR[[#This Row],[RUL Adjustment]]</f>
        <v>1</v>
      </c>
      <c r="AO16" s="12">
        <f>FAR[[#This Row],[Opening RUL 30 June 2026]]-1</f>
        <v>0</v>
      </c>
      <c r="AP16" s="12" t="s">
        <v>1051</v>
      </c>
      <c r="AQ16" s="139"/>
      <c r="AR16" s="10" t="s">
        <v>127</v>
      </c>
      <c r="AS16" s="13">
        <v>13393.86</v>
      </c>
      <c r="AT16" s="13"/>
      <c r="AU16" s="13">
        <v>0</v>
      </c>
      <c r="AV16" s="13">
        <v>0</v>
      </c>
      <c r="AW16" s="13">
        <v>0</v>
      </c>
      <c r="AX16" s="13">
        <v>13393.86</v>
      </c>
      <c r="AY16" s="13">
        <v>744.10333333333256</v>
      </c>
      <c r="AZ16" s="13">
        <v>0</v>
      </c>
      <c r="BA16" s="13"/>
      <c r="BB16" s="13"/>
      <c r="BC16" s="13">
        <v>-12649.756666666668</v>
      </c>
      <c r="BD16" s="13"/>
      <c r="BE16" s="13" t="s">
        <v>114</v>
      </c>
      <c r="BF16" s="29"/>
      <c r="BG16" s="13"/>
      <c r="BH16" s="13">
        <f>-FAR[[#This Row],[Carrying value (opening balance)]]/FAR[[#This Row],[Opening RUL 30 June 2026]]</f>
        <v>-744.10333333333256</v>
      </c>
      <c r="BI16" s="13">
        <f>FAR[[#This Row],[Depreciation YTD]]/12</f>
        <v>-62.008611111111044</v>
      </c>
      <c r="BJ16" s="13"/>
      <c r="BK16" s="13" t="s">
        <v>116</v>
      </c>
      <c r="BL16" s="13">
        <v>0</v>
      </c>
      <c r="BM16" s="13">
        <f>FAR[[#This Row],[Accumulated depreciation (Opening balance)]]+FAR[[#This Row],[Depreciation YTD]]+FAR[[#This Row],[Derecognitions (acc dep) '[+']]]</f>
        <v>-13393.86</v>
      </c>
      <c r="BN16" s="13"/>
      <c r="BO16" s="13"/>
      <c r="BP16" s="13"/>
      <c r="BQ16" s="13"/>
      <c r="BR1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6" s="13">
        <f>FAR[[#This Row],[Cost Price (closing balance)]]+FAR[[#This Row],[Accumulated depreciation (Closing balance)]]+FAR[[#This Row],[Accumulated impairments (Closing balance)]]</f>
        <v>0</v>
      </c>
      <c r="BT16" s="13"/>
      <c r="BU16" s="13"/>
      <c r="BV16" s="13"/>
      <c r="BW16" s="10" t="s">
        <v>167</v>
      </c>
      <c r="BX16" s="9" t="s">
        <v>168</v>
      </c>
      <c r="BY16" s="10"/>
      <c r="BZ16" t="s">
        <v>943</v>
      </c>
      <c r="CA16"/>
      <c r="CB16" s="34"/>
      <c r="CC16" s="34"/>
      <c r="CD16" s="34"/>
      <c r="CE16" s="141"/>
    </row>
    <row r="17" spans="1:83">
      <c r="A17" s="35" t="s">
        <v>188</v>
      </c>
      <c r="B17" s="9" t="s">
        <v>859</v>
      </c>
      <c r="C17" s="9" t="s">
        <v>54</v>
      </c>
      <c r="D17" s="10" t="s">
        <v>1</v>
      </c>
      <c r="E17" s="9" t="s">
        <v>115</v>
      </c>
      <c r="F17" s="36" t="s">
        <v>99</v>
      </c>
      <c r="G17" s="9" t="s">
        <v>100</v>
      </c>
      <c r="H17" s="3" t="s">
        <v>128</v>
      </c>
      <c r="I17" s="9" t="s">
        <v>100</v>
      </c>
      <c r="J17" s="36" t="s">
        <v>101</v>
      </c>
      <c r="K17" s="10" t="s">
        <v>559</v>
      </c>
      <c r="L17" s="10" t="s">
        <v>559</v>
      </c>
      <c r="M17" s="9" t="s">
        <v>100</v>
      </c>
      <c r="N17" s="10" t="s">
        <v>432</v>
      </c>
      <c r="O17" s="9" t="s">
        <v>100</v>
      </c>
      <c r="P17" s="10"/>
      <c r="Q17" s="10" t="s">
        <v>432</v>
      </c>
      <c r="R17" s="10" t="s">
        <v>119</v>
      </c>
      <c r="S17" s="10" t="s">
        <v>130</v>
      </c>
      <c r="T17" s="10" t="s">
        <v>120</v>
      </c>
      <c r="U17" s="10" t="s">
        <v>101</v>
      </c>
      <c r="V17" s="10" t="s">
        <v>121</v>
      </c>
      <c r="W17" s="10" t="s">
        <v>122</v>
      </c>
      <c r="X17" s="10" t="s">
        <v>123</v>
      </c>
      <c r="Y17" s="29">
        <v>1</v>
      </c>
      <c r="Z17" s="138" t="s">
        <v>561</v>
      </c>
      <c r="AA17" s="138">
        <v>38071</v>
      </c>
      <c r="AB17" s="9" t="s">
        <v>114</v>
      </c>
      <c r="AC17" s="9" t="s">
        <v>124</v>
      </c>
      <c r="AD17" s="15">
        <v>44651</v>
      </c>
      <c r="AE17" s="39" t="s">
        <v>125</v>
      </c>
      <c r="AF17" s="177">
        <v>6</v>
      </c>
      <c r="AG17" s="140">
        <v>0</v>
      </c>
      <c r="AH17" s="9">
        <v>0</v>
      </c>
      <c r="AI17" s="10" t="s">
        <v>126</v>
      </c>
      <c r="AJ17" s="10"/>
      <c r="AK17" s="29"/>
      <c r="AL17" s="12">
        <v>1</v>
      </c>
      <c r="AM17" s="10"/>
      <c r="AN17" s="12">
        <f>FAR[[#This Row],[Opening RUL]]+FAR[[#This Row],[RUL Adjustment]]</f>
        <v>1</v>
      </c>
      <c r="AO17" s="12">
        <f>FAR[[#This Row],[Opening RUL 30 June 2026]]-1</f>
        <v>0</v>
      </c>
      <c r="AP17" s="12" t="s">
        <v>1050</v>
      </c>
      <c r="AQ17" s="139"/>
      <c r="AR17" s="10" t="s">
        <v>127</v>
      </c>
      <c r="AS17" s="13">
        <v>2360.94</v>
      </c>
      <c r="AT17" s="13"/>
      <c r="AU17" s="13">
        <v>0</v>
      </c>
      <c r="AV17" s="13">
        <v>0</v>
      </c>
      <c r="AW17" s="13">
        <v>0</v>
      </c>
      <c r="AX17" s="13">
        <v>2360.94</v>
      </c>
      <c r="AY17" s="13">
        <v>131.16333333333341</v>
      </c>
      <c r="AZ17" s="13">
        <v>0</v>
      </c>
      <c r="BA17" s="13"/>
      <c r="BB17" s="13"/>
      <c r="BC17" s="13">
        <v>-2229.7766666666666</v>
      </c>
      <c r="BD17" s="13"/>
      <c r="BE17" s="13" t="s">
        <v>114</v>
      </c>
      <c r="BF17" s="29"/>
      <c r="BG17" s="13"/>
      <c r="BH17" s="13">
        <f>-FAR[[#This Row],[Carrying value (opening balance)]]/FAR[[#This Row],[Opening RUL 30 June 2026]]</f>
        <v>-131.16333333333341</v>
      </c>
      <c r="BI17" s="13">
        <f>FAR[[#This Row],[Depreciation YTD]]/12</f>
        <v>-10.930277777777784</v>
      </c>
      <c r="BJ17" s="13"/>
      <c r="BK17" s="13" t="s">
        <v>116</v>
      </c>
      <c r="BL17" s="13">
        <v>0</v>
      </c>
      <c r="BM17" s="13">
        <f>FAR[[#This Row],[Accumulated depreciation (Opening balance)]]+FAR[[#This Row],[Depreciation YTD]]+FAR[[#This Row],[Derecognitions (acc dep) '[+']]]</f>
        <v>-2360.94</v>
      </c>
      <c r="BN17" s="13"/>
      <c r="BO17" s="13"/>
      <c r="BP17" s="13"/>
      <c r="BQ17" s="13"/>
      <c r="BR1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7" s="13">
        <f>FAR[[#This Row],[Cost Price (closing balance)]]+FAR[[#This Row],[Accumulated depreciation (Closing balance)]]+FAR[[#This Row],[Accumulated impairments (Closing balance)]]</f>
        <v>0</v>
      </c>
      <c r="BT17" s="13"/>
      <c r="BU17" s="13"/>
      <c r="BV17" s="13"/>
      <c r="BW17" s="10" t="s">
        <v>167</v>
      </c>
      <c r="BX17" s="9" t="s">
        <v>168</v>
      </c>
      <c r="BY17" s="10"/>
      <c r="BZ17" t="s">
        <v>944</v>
      </c>
      <c r="CA17"/>
      <c r="CB17" s="34"/>
      <c r="CC17" s="34"/>
      <c r="CD17" s="34"/>
      <c r="CE17" s="141"/>
    </row>
    <row r="18" spans="1:83">
      <c r="A18" s="35" t="s">
        <v>189</v>
      </c>
      <c r="B18" s="9" t="s">
        <v>860</v>
      </c>
      <c r="C18" s="9" t="s">
        <v>54</v>
      </c>
      <c r="D18" s="10" t="s">
        <v>1</v>
      </c>
      <c r="E18" s="9" t="s">
        <v>115</v>
      </c>
      <c r="F18" s="36" t="s">
        <v>99</v>
      </c>
      <c r="G18" s="9" t="s">
        <v>100</v>
      </c>
      <c r="H18" s="3" t="s">
        <v>128</v>
      </c>
      <c r="I18" s="9" t="s">
        <v>100</v>
      </c>
      <c r="J18" s="36" t="s">
        <v>101</v>
      </c>
      <c r="K18" s="10" t="s">
        <v>559</v>
      </c>
      <c r="L18" s="10" t="s">
        <v>559</v>
      </c>
      <c r="M18" s="9" t="s">
        <v>100</v>
      </c>
      <c r="N18" s="10" t="s">
        <v>433</v>
      </c>
      <c r="O18" s="9" t="s">
        <v>100</v>
      </c>
      <c r="P18" s="10"/>
      <c r="Q18" s="10" t="s">
        <v>433</v>
      </c>
      <c r="R18" s="10" t="s">
        <v>119</v>
      </c>
      <c r="S18" s="10" t="s">
        <v>130</v>
      </c>
      <c r="T18" s="10" t="s">
        <v>120</v>
      </c>
      <c r="U18" s="10" t="s">
        <v>101</v>
      </c>
      <c r="V18" s="10" t="s">
        <v>121</v>
      </c>
      <c r="W18" s="10" t="s">
        <v>122</v>
      </c>
      <c r="X18" s="10" t="s">
        <v>123</v>
      </c>
      <c r="Y18" s="29">
        <v>1</v>
      </c>
      <c r="Z18" s="138" t="s">
        <v>561</v>
      </c>
      <c r="AA18" s="138">
        <v>38071</v>
      </c>
      <c r="AB18" s="9" t="s">
        <v>114</v>
      </c>
      <c r="AC18" s="9" t="s">
        <v>124</v>
      </c>
      <c r="AD18" s="15">
        <v>44651</v>
      </c>
      <c r="AE18" s="39" t="s">
        <v>125</v>
      </c>
      <c r="AF18" s="177">
        <v>6</v>
      </c>
      <c r="AG18" s="140">
        <v>0</v>
      </c>
      <c r="AH18" s="9">
        <v>0</v>
      </c>
      <c r="AI18" s="10" t="s">
        <v>126</v>
      </c>
      <c r="AJ18" s="10"/>
      <c r="AK18" s="29"/>
      <c r="AL18" s="12">
        <v>1</v>
      </c>
      <c r="AM18" s="10"/>
      <c r="AN18" s="12">
        <f>FAR[[#This Row],[Opening RUL]]+FAR[[#This Row],[RUL Adjustment]]</f>
        <v>1</v>
      </c>
      <c r="AO18" s="12">
        <f>FAR[[#This Row],[Opening RUL 30 June 2026]]-1</f>
        <v>0</v>
      </c>
      <c r="AP18" s="12" t="s">
        <v>1050</v>
      </c>
      <c r="AQ18" s="139"/>
      <c r="AR18" s="10" t="s">
        <v>127</v>
      </c>
      <c r="AS18" s="13">
        <v>3034.68</v>
      </c>
      <c r="AT18" s="13"/>
      <c r="AU18" s="13">
        <v>0</v>
      </c>
      <c r="AV18" s="13">
        <v>0</v>
      </c>
      <c r="AW18" s="13">
        <v>0</v>
      </c>
      <c r="AX18" s="13">
        <v>3034.68</v>
      </c>
      <c r="AY18" s="13">
        <v>168.5933333333337</v>
      </c>
      <c r="AZ18" s="13">
        <v>0</v>
      </c>
      <c r="BA18" s="13"/>
      <c r="BB18" s="13"/>
      <c r="BC18" s="13">
        <v>-2866.0866666666661</v>
      </c>
      <c r="BD18" s="13"/>
      <c r="BE18" s="13" t="s">
        <v>114</v>
      </c>
      <c r="BF18" s="29"/>
      <c r="BG18" s="13"/>
      <c r="BH18" s="13">
        <f>-FAR[[#This Row],[Carrying value (opening balance)]]/FAR[[#This Row],[Opening RUL 30 June 2026]]</f>
        <v>-168.5933333333337</v>
      </c>
      <c r="BI18" s="13">
        <f>FAR[[#This Row],[Depreciation YTD]]/12</f>
        <v>-14.049444444444475</v>
      </c>
      <c r="BJ18" s="13"/>
      <c r="BK18" s="13" t="s">
        <v>116</v>
      </c>
      <c r="BL18" s="13">
        <v>0</v>
      </c>
      <c r="BM18" s="13">
        <f>FAR[[#This Row],[Accumulated depreciation (Opening balance)]]+FAR[[#This Row],[Depreciation YTD]]+FAR[[#This Row],[Derecognitions (acc dep) '[+']]]</f>
        <v>-3034.68</v>
      </c>
      <c r="BN18" s="13"/>
      <c r="BO18" s="13"/>
      <c r="BP18" s="13"/>
      <c r="BQ18" s="13"/>
      <c r="BR1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8" s="13">
        <f>FAR[[#This Row],[Cost Price (closing balance)]]+FAR[[#This Row],[Accumulated depreciation (Closing balance)]]+FAR[[#This Row],[Accumulated impairments (Closing balance)]]</f>
        <v>0</v>
      </c>
      <c r="BT18" s="13"/>
      <c r="BU18" s="13"/>
      <c r="BV18" s="13"/>
      <c r="BW18" s="10" t="s">
        <v>167</v>
      </c>
      <c r="BX18" s="9" t="s">
        <v>168</v>
      </c>
      <c r="BY18" s="10"/>
      <c r="BZ18" t="s">
        <v>945</v>
      </c>
      <c r="CA18"/>
      <c r="CB18" s="34"/>
      <c r="CC18" s="34"/>
      <c r="CD18" s="34"/>
      <c r="CE18" s="141"/>
    </row>
    <row r="19" spans="1:83">
      <c r="A19" s="35" t="s">
        <v>190</v>
      </c>
      <c r="B19" s="9" t="s">
        <v>861</v>
      </c>
      <c r="C19" s="9" t="s">
        <v>54</v>
      </c>
      <c r="D19" s="10" t="s">
        <v>1</v>
      </c>
      <c r="E19" s="9" t="s">
        <v>115</v>
      </c>
      <c r="F19" s="36" t="s">
        <v>99</v>
      </c>
      <c r="G19" s="9" t="s">
        <v>100</v>
      </c>
      <c r="H19" s="3" t="s">
        <v>128</v>
      </c>
      <c r="I19" s="9" t="s">
        <v>100</v>
      </c>
      <c r="J19" s="36" t="s">
        <v>101</v>
      </c>
      <c r="K19" s="10" t="s">
        <v>559</v>
      </c>
      <c r="L19" s="10" t="s">
        <v>559</v>
      </c>
      <c r="M19" s="9" t="s">
        <v>100</v>
      </c>
      <c r="N19" s="10" t="s">
        <v>434</v>
      </c>
      <c r="O19" s="9" t="s">
        <v>100</v>
      </c>
      <c r="P19" s="10"/>
      <c r="Q19" s="10" t="s">
        <v>434</v>
      </c>
      <c r="R19" s="10" t="s">
        <v>119</v>
      </c>
      <c r="S19" s="10" t="s">
        <v>130</v>
      </c>
      <c r="T19" s="10" t="s">
        <v>120</v>
      </c>
      <c r="U19" s="10" t="s">
        <v>101</v>
      </c>
      <c r="V19" s="10" t="s">
        <v>121</v>
      </c>
      <c r="W19" s="10" t="s">
        <v>122</v>
      </c>
      <c r="X19" s="10" t="s">
        <v>123</v>
      </c>
      <c r="Y19" s="29">
        <v>1</v>
      </c>
      <c r="Z19" s="138" t="s">
        <v>561</v>
      </c>
      <c r="AA19" s="138">
        <v>38071</v>
      </c>
      <c r="AB19" s="9" t="s">
        <v>114</v>
      </c>
      <c r="AC19" s="9" t="s">
        <v>124</v>
      </c>
      <c r="AD19" s="15">
        <v>44651</v>
      </c>
      <c r="AE19" s="39" t="s">
        <v>125</v>
      </c>
      <c r="AF19" s="177">
        <v>6</v>
      </c>
      <c r="AG19" s="140">
        <v>0</v>
      </c>
      <c r="AH19" s="9">
        <v>0</v>
      </c>
      <c r="AI19" s="10" t="s">
        <v>126</v>
      </c>
      <c r="AJ19" s="10"/>
      <c r="AK19" s="29"/>
      <c r="AL19" s="12">
        <v>1</v>
      </c>
      <c r="AM19" s="10"/>
      <c r="AN19" s="12">
        <f>FAR[[#This Row],[Opening RUL]]+FAR[[#This Row],[RUL Adjustment]]</f>
        <v>1</v>
      </c>
      <c r="AO19" s="12">
        <f>FAR[[#This Row],[Opening RUL 30 June 2026]]-1</f>
        <v>0</v>
      </c>
      <c r="AP19" s="12" t="s">
        <v>1050</v>
      </c>
      <c r="AQ19" s="139"/>
      <c r="AR19" s="10" t="s">
        <v>127</v>
      </c>
      <c r="AS19" s="13">
        <v>2273.16</v>
      </c>
      <c r="AT19" s="13"/>
      <c r="AU19" s="13">
        <v>0</v>
      </c>
      <c r="AV19" s="13">
        <v>0</v>
      </c>
      <c r="AW19" s="13">
        <v>0</v>
      </c>
      <c r="AX19" s="13">
        <v>2273.16</v>
      </c>
      <c r="AY19" s="13">
        <v>126.28666666666686</v>
      </c>
      <c r="AZ19" s="13">
        <v>0</v>
      </c>
      <c r="BA19" s="13"/>
      <c r="BB19" s="13"/>
      <c r="BC19" s="13">
        <v>-2146.873333333333</v>
      </c>
      <c r="BD19" s="13"/>
      <c r="BE19" s="13" t="s">
        <v>114</v>
      </c>
      <c r="BF19" s="29"/>
      <c r="BG19" s="13"/>
      <c r="BH19" s="13">
        <f>-FAR[[#This Row],[Carrying value (opening balance)]]/FAR[[#This Row],[Opening RUL 30 June 2026]]</f>
        <v>-126.28666666666686</v>
      </c>
      <c r="BI19" s="13">
        <f>FAR[[#This Row],[Depreciation YTD]]/12</f>
        <v>-10.523888888888905</v>
      </c>
      <c r="BJ19" s="13"/>
      <c r="BK19" s="13" t="s">
        <v>116</v>
      </c>
      <c r="BL19" s="13">
        <v>0</v>
      </c>
      <c r="BM19" s="13">
        <f>FAR[[#This Row],[Accumulated depreciation (Opening balance)]]+FAR[[#This Row],[Depreciation YTD]]+FAR[[#This Row],[Derecognitions (acc dep) '[+']]]</f>
        <v>-2273.16</v>
      </c>
      <c r="BN19" s="13"/>
      <c r="BO19" s="13"/>
      <c r="BP19" s="13"/>
      <c r="BQ19" s="13"/>
      <c r="BR1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9" s="13">
        <f>FAR[[#This Row],[Cost Price (closing balance)]]+FAR[[#This Row],[Accumulated depreciation (Closing balance)]]+FAR[[#This Row],[Accumulated impairments (Closing balance)]]</f>
        <v>0</v>
      </c>
      <c r="BT19" s="13"/>
      <c r="BU19" s="13"/>
      <c r="BV19" s="13"/>
      <c r="BW19" s="10" t="s">
        <v>167</v>
      </c>
      <c r="BX19" s="9" t="s">
        <v>168</v>
      </c>
      <c r="BY19" s="10"/>
      <c r="BZ19" t="s">
        <v>946</v>
      </c>
      <c r="CA19"/>
      <c r="CB19" s="34"/>
      <c r="CC19" s="34"/>
      <c r="CD19" s="34"/>
      <c r="CE19" s="141"/>
    </row>
    <row r="20" spans="1:83">
      <c r="A20" s="35" t="s">
        <v>191</v>
      </c>
      <c r="B20" s="9" t="s">
        <v>862</v>
      </c>
      <c r="C20" s="9" t="s">
        <v>54</v>
      </c>
      <c r="D20" s="10" t="s">
        <v>1</v>
      </c>
      <c r="E20" s="9" t="s">
        <v>115</v>
      </c>
      <c r="F20" s="36" t="s">
        <v>99</v>
      </c>
      <c r="G20" s="9" t="s">
        <v>100</v>
      </c>
      <c r="H20" s="3" t="s">
        <v>128</v>
      </c>
      <c r="I20" s="9" t="s">
        <v>100</v>
      </c>
      <c r="J20" s="36" t="s">
        <v>101</v>
      </c>
      <c r="K20" s="10" t="s">
        <v>559</v>
      </c>
      <c r="L20" s="10" t="s">
        <v>559</v>
      </c>
      <c r="M20" s="9" t="s">
        <v>100</v>
      </c>
      <c r="N20" s="10" t="s">
        <v>435</v>
      </c>
      <c r="O20" s="9" t="s">
        <v>100</v>
      </c>
      <c r="P20" s="10"/>
      <c r="Q20" s="10" t="s">
        <v>435</v>
      </c>
      <c r="R20" s="10" t="s">
        <v>119</v>
      </c>
      <c r="S20" s="10" t="s">
        <v>130</v>
      </c>
      <c r="T20" s="10" t="s">
        <v>120</v>
      </c>
      <c r="U20" s="10" t="s">
        <v>101</v>
      </c>
      <c r="V20" s="10" t="s">
        <v>121</v>
      </c>
      <c r="W20" s="10" t="s">
        <v>122</v>
      </c>
      <c r="X20" s="10" t="s">
        <v>123</v>
      </c>
      <c r="Y20" s="29">
        <v>1</v>
      </c>
      <c r="Z20" s="138" t="s">
        <v>561</v>
      </c>
      <c r="AA20" s="138">
        <v>38071</v>
      </c>
      <c r="AB20" s="9" t="s">
        <v>114</v>
      </c>
      <c r="AC20" s="9" t="s">
        <v>124</v>
      </c>
      <c r="AD20" s="15">
        <v>44651</v>
      </c>
      <c r="AE20" s="39" t="s">
        <v>125</v>
      </c>
      <c r="AF20" s="177">
        <v>6</v>
      </c>
      <c r="AG20" s="140">
        <v>0</v>
      </c>
      <c r="AH20" s="9">
        <v>0</v>
      </c>
      <c r="AI20" s="10" t="s">
        <v>126</v>
      </c>
      <c r="AJ20" s="10"/>
      <c r="AK20" s="29"/>
      <c r="AL20" s="12">
        <v>1</v>
      </c>
      <c r="AM20" s="10"/>
      <c r="AN20" s="12">
        <f>FAR[[#This Row],[Opening RUL]]+FAR[[#This Row],[RUL Adjustment]]</f>
        <v>1</v>
      </c>
      <c r="AO20" s="12">
        <f>FAR[[#This Row],[Opening RUL 30 June 2026]]-1</f>
        <v>0</v>
      </c>
      <c r="AP20" s="12" t="s">
        <v>1051</v>
      </c>
      <c r="AQ20" s="139"/>
      <c r="AR20" s="10" t="s">
        <v>127</v>
      </c>
      <c r="AS20" s="13">
        <v>2273.16</v>
      </c>
      <c r="AT20" s="13"/>
      <c r="AU20" s="13">
        <v>0</v>
      </c>
      <c r="AV20" s="13">
        <v>0</v>
      </c>
      <c r="AW20" s="13">
        <v>0</v>
      </c>
      <c r="AX20" s="13">
        <v>2273.16</v>
      </c>
      <c r="AY20" s="13">
        <v>126.28666666666686</v>
      </c>
      <c r="AZ20" s="13">
        <v>0</v>
      </c>
      <c r="BA20" s="13"/>
      <c r="BB20" s="13"/>
      <c r="BC20" s="13">
        <v>-2146.873333333333</v>
      </c>
      <c r="BD20" s="13"/>
      <c r="BE20" s="13" t="s">
        <v>114</v>
      </c>
      <c r="BF20" s="29"/>
      <c r="BG20" s="13"/>
      <c r="BH20" s="13">
        <f>-FAR[[#This Row],[Carrying value (opening balance)]]/FAR[[#This Row],[Opening RUL 30 June 2026]]</f>
        <v>-126.28666666666686</v>
      </c>
      <c r="BI20" s="13">
        <f>FAR[[#This Row],[Depreciation YTD]]/12</f>
        <v>-10.523888888888905</v>
      </c>
      <c r="BJ20" s="13"/>
      <c r="BK20" s="13" t="s">
        <v>116</v>
      </c>
      <c r="BL20" s="13">
        <v>0</v>
      </c>
      <c r="BM20" s="13">
        <f>FAR[[#This Row],[Accumulated depreciation (Opening balance)]]+FAR[[#This Row],[Depreciation YTD]]+FAR[[#This Row],[Derecognitions (acc dep) '[+']]]</f>
        <v>-2273.16</v>
      </c>
      <c r="BN20" s="13"/>
      <c r="BO20" s="13"/>
      <c r="BP20" s="13"/>
      <c r="BQ20" s="13"/>
      <c r="BR2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0" s="13">
        <f>FAR[[#This Row],[Cost Price (closing balance)]]+FAR[[#This Row],[Accumulated depreciation (Closing balance)]]+FAR[[#This Row],[Accumulated impairments (Closing balance)]]</f>
        <v>0</v>
      </c>
      <c r="BT20" s="13"/>
      <c r="BU20" s="13"/>
      <c r="BV20" s="13"/>
      <c r="BW20" s="10" t="s">
        <v>167</v>
      </c>
      <c r="BX20" s="9" t="s">
        <v>168</v>
      </c>
      <c r="BY20" s="10"/>
      <c r="BZ20" t="s">
        <v>942</v>
      </c>
      <c r="CA20"/>
      <c r="CB20" s="34"/>
      <c r="CC20" s="34"/>
      <c r="CD20" s="34"/>
      <c r="CE20" s="141"/>
    </row>
    <row r="21" spans="1:83">
      <c r="A21" s="35" t="s">
        <v>192</v>
      </c>
      <c r="B21" s="9" t="s">
        <v>859</v>
      </c>
      <c r="C21" s="9" t="s">
        <v>54</v>
      </c>
      <c r="D21" s="10" t="s">
        <v>1</v>
      </c>
      <c r="E21" s="9" t="s">
        <v>115</v>
      </c>
      <c r="F21" s="36" t="s">
        <v>99</v>
      </c>
      <c r="G21" s="9" t="s">
        <v>100</v>
      </c>
      <c r="H21" s="3" t="s">
        <v>128</v>
      </c>
      <c r="I21" s="9" t="s">
        <v>100</v>
      </c>
      <c r="J21" s="36" t="s">
        <v>101</v>
      </c>
      <c r="K21" s="10" t="s">
        <v>559</v>
      </c>
      <c r="L21" s="10" t="s">
        <v>559</v>
      </c>
      <c r="M21" s="9" t="s">
        <v>100</v>
      </c>
      <c r="N21" s="10" t="s">
        <v>436</v>
      </c>
      <c r="O21" s="9" t="s">
        <v>100</v>
      </c>
      <c r="P21" s="10"/>
      <c r="Q21" s="10" t="s">
        <v>436</v>
      </c>
      <c r="R21" s="10" t="s">
        <v>119</v>
      </c>
      <c r="S21" s="10" t="s">
        <v>130</v>
      </c>
      <c r="T21" s="10" t="s">
        <v>120</v>
      </c>
      <c r="U21" s="10" t="s">
        <v>101</v>
      </c>
      <c r="V21" s="10" t="s">
        <v>121</v>
      </c>
      <c r="W21" s="10" t="s">
        <v>122</v>
      </c>
      <c r="X21" s="10" t="s">
        <v>123</v>
      </c>
      <c r="Y21" s="29">
        <v>1</v>
      </c>
      <c r="Z21" s="138" t="s">
        <v>561</v>
      </c>
      <c r="AA21" s="138">
        <v>38071</v>
      </c>
      <c r="AB21" s="9" t="s">
        <v>114</v>
      </c>
      <c r="AC21" s="9" t="s">
        <v>124</v>
      </c>
      <c r="AD21" s="15">
        <v>44651</v>
      </c>
      <c r="AE21" s="39" t="s">
        <v>125</v>
      </c>
      <c r="AF21" s="177">
        <v>6</v>
      </c>
      <c r="AG21" s="140">
        <v>0</v>
      </c>
      <c r="AH21" s="9">
        <v>0</v>
      </c>
      <c r="AI21" s="10" t="s">
        <v>126</v>
      </c>
      <c r="AJ21" s="10"/>
      <c r="AK21" s="29"/>
      <c r="AL21" s="12">
        <v>1</v>
      </c>
      <c r="AM21" s="10"/>
      <c r="AN21" s="12">
        <f>FAR[[#This Row],[Opening RUL]]+FAR[[#This Row],[RUL Adjustment]]</f>
        <v>1</v>
      </c>
      <c r="AO21" s="12">
        <f>FAR[[#This Row],[Opening RUL 30 June 2026]]-1</f>
        <v>0</v>
      </c>
      <c r="AP21" s="12" t="s">
        <v>1050</v>
      </c>
      <c r="AQ21" s="139"/>
      <c r="AR21" s="10" t="s">
        <v>127</v>
      </c>
      <c r="AS21" s="13">
        <v>13393.86</v>
      </c>
      <c r="AT21" s="13"/>
      <c r="AU21" s="13">
        <v>0</v>
      </c>
      <c r="AV21" s="13">
        <v>0</v>
      </c>
      <c r="AW21" s="13">
        <v>0</v>
      </c>
      <c r="AX21" s="13">
        <v>13393.86</v>
      </c>
      <c r="AY21" s="13">
        <v>744.10333333333256</v>
      </c>
      <c r="AZ21" s="13">
        <v>0</v>
      </c>
      <c r="BA21" s="13"/>
      <c r="BB21" s="13"/>
      <c r="BC21" s="13">
        <v>-12649.756666666668</v>
      </c>
      <c r="BD21" s="13"/>
      <c r="BE21" s="13" t="s">
        <v>114</v>
      </c>
      <c r="BF21" s="29"/>
      <c r="BG21" s="13"/>
      <c r="BH21" s="13">
        <f>-FAR[[#This Row],[Carrying value (opening balance)]]/FAR[[#This Row],[Opening RUL 30 June 2026]]</f>
        <v>-744.10333333333256</v>
      </c>
      <c r="BI21" s="13">
        <f>FAR[[#This Row],[Depreciation YTD]]/12</f>
        <v>-62.008611111111044</v>
      </c>
      <c r="BJ21" s="13"/>
      <c r="BK21" s="13" t="s">
        <v>116</v>
      </c>
      <c r="BL21" s="13">
        <v>0</v>
      </c>
      <c r="BM21" s="13">
        <f>FAR[[#This Row],[Accumulated depreciation (Opening balance)]]+FAR[[#This Row],[Depreciation YTD]]+FAR[[#This Row],[Derecognitions (acc dep) '[+']]]</f>
        <v>-13393.86</v>
      </c>
      <c r="BN21" s="13"/>
      <c r="BO21" s="13"/>
      <c r="BP21" s="13"/>
      <c r="BQ21" s="13"/>
      <c r="BR2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1" s="13">
        <f>FAR[[#This Row],[Cost Price (closing balance)]]+FAR[[#This Row],[Accumulated depreciation (Closing balance)]]+FAR[[#This Row],[Accumulated impairments (Closing balance)]]</f>
        <v>0</v>
      </c>
      <c r="BT21" s="13"/>
      <c r="BU21" s="13"/>
      <c r="BV21" s="13"/>
      <c r="BW21" s="10" t="s">
        <v>167</v>
      </c>
      <c r="BX21" s="9" t="s">
        <v>168</v>
      </c>
      <c r="BY21" s="10"/>
      <c r="BZ21" t="s">
        <v>938</v>
      </c>
      <c r="CA21"/>
      <c r="CB21" s="34"/>
      <c r="CC21" s="34"/>
      <c r="CD21" s="34"/>
      <c r="CE21" s="141"/>
    </row>
    <row r="22" spans="1:83">
      <c r="A22" s="35" t="s">
        <v>193</v>
      </c>
      <c r="B22" s="9" t="s">
        <v>863</v>
      </c>
      <c r="C22" s="9" t="s">
        <v>54</v>
      </c>
      <c r="D22" s="10" t="s">
        <v>1</v>
      </c>
      <c r="E22" s="9" t="s">
        <v>115</v>
      </c>
      <c r="F22" s="36" t="s">
        <v>99</v>
      </c>
      <c r="G22" s="9" t="s">
        <v>100</v>
      </c>
      <c r="H22" s="3" t="s">
        <v>128</v>
      </c>
      <c r="I22" s="9" t="s">
        <v>100</v>
      </c>
      <c r="J22" s="36" t="s">
        <v>101</v>
      </c>
      <c r="K22" s="10" t="s">
        <v>559</v>
      </c>
      <c r="L22" s="10" t="s">
        <v>559</v>
      </c>
      <c r="M22" s="9" t="s">
        <v>100</v>
      </c>
      <c r="N22" s="10" t="s">
        <v>427</v>
      </c>
      <c r="O22" s="9" t="s">
        <v>100</v>
      </c>
      <c r="P22" s="10"/>
      <c r="Q22" s="10" t="s">
        <v>427</v>
      </c>
      <c r="R22" s="10" t="s">
        <v>119</v>
      </c>
      <c r="S22" s="10" t="s">
        <v>130</v>
      </c>
      <c r="T22" s="10" t="s">
        <v>120</v>
      </c>
      <c r="U22" s="10" t="s">
        <v>101</v>
      </c>
      <c r="V22" s="10" t="s">
        <v>121</v>
      </c>
      <c r="W22" s="10" t="s">
        <v>122</v>
      </c>
      <c r="X22" s="10" t="s">
        <v>123</v>
      </c>
      <c r="Y22" s="29">
        <v>1</v>
      </c>
      <c r="Z22" s="138" t="s">
        <v>561</v>
      </c>
      <c r="AA22" s="138">
        <v>38071</v>
      </c>
      <c r="AB22" s="9" t="s">
        <v>114</v>
      </c>
      <c r="AC22" s="9" t="s">
        <v>124</v>
      </c>
      <c r="AD22" s="15">
        <v>44651</v>
      </c>
      <c r="AE22" s="39" t="s">
        <v>125</v>
      </c>
      <c r="AF22" s="177">
        <v>6</v>
      </c>
      <c r="AG22" s="140">
        <v>0</v>
      </c>
      <c r="AH22" s="9">
        <v>0</v>
      </c>
      <c r="AI22" s="10" t="s">
        <v>126</v>
      </c>
      <c r="AJ22" s="10"/>
      <c r="AK22" s="29"/>
      <c r="AL22" s="12">
        <v>1</v>
      </c>
      <c r="AM22" s="10"/>
      <c r="AN22" s="12">
        <f>FAR[[#This Row],[Opening RUL]]+FAR[[#This Row],[RUL Adjustment]]</f>
        <v>1</v>
      </c>
      <c r="AO22" s="12">
        <f>FAR[[#This Row],[Opening RUL 30 June 2026]]-1</f>
        <v>0</v>
      </c>
      <c r="AP22" s="12" t="s">
        <v>1050</v>
      </c>
      <c r="AQ22" s="139"/>
      <c r="AR22" s="10" t="s">
        <v>127</v>
      </c>
      <c r="AS22" s="13">
        <v>3780.24</v>
      </c>
      <c r="AT22" s="13"/>
      <c r="AU22" s="13">
        <v>0</v>
      </c>
      <c r="AV22" s="13">
        <v>0</v>
      </c>
      <c r="AW22" s="13">
        <v>0</v>
      </c>
      <c r="AX22" s="13">
        <v>3780.24</v>
      </c>
      <c r="AY22" s="13">
        <v>210.01333333333332</v>
      </c>
      <c r="AZ22" s="13">
        <v>0</v>
      </c>
      <c r="BA22" s="13"/>
      <c r="BB22" s="13"/>
      <c r="BC22" s="13">
        <v>-3570.2266666666665</v>
      </c>
      <c r="BD22" s="13"/>
      <c r="BE22" s="13" t="s">
        <v>114</v>
      </c>
      <c r="BF22" s="29"/>
      <c r="BG22" s="13"/>
      <c r="BH22" s="13">
        <f>-FAR[[#This Row],[Carrying value (opening balance)]]/FAR[[#This Row],[Opening RUL 30 June 2026]]</f>
        <v>-210.01333333333332</v>
      </c>
      <c r="BI22" s="13">
        <f>FAR[[#This Row],[Depreciation YTD]]/12</f>
        <v>-17.501111111111111</v>
      </c>
      <c r="BJ22" s="13"/>
      <c r="BK22" s="13" t="s">
        <v>116</v>
      </c>
      <c r="BL22" s="13">
        <v>0</v>
      </c>
      <c r="BM22" s="13">
        <f>FAR[[#This Row],[Accumulated depreciation (Opening balance)]]+FAR[[#This Row],[Depreciation YTD]]+FAR[[#This Row],[Derecognitions (acc dep) '[+']]]</f>
        <v>-3780.24</v>
      </c>
      <c r="BN22" s="13"/>
      <c r="BO22" s="13"/>
      <c r="BP22" s="13"/>
      <c r="BQ22" s="13"/>
      <c r="BR2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2" s="13">
        <f>FAR[[#This Row],[Cost Price (closing balance)]]+FAR[[#This Row],[Accumulated depreciation (Closing balance)]]+FAR[[#This Row],[Accumulated impairments (Closing balance)]]</f>
        <v>0</v>
      </c>
      <c r="BT22" s="13"/>
      <c r="BU22" s="13"/>
      <c r="BV22" s="13"/>
      <c r="BW22" s="10" t="s">
        <v>167</v>
      </c>
      <c r="BX22" s="9" t="s">
        <v>168</v>
      </c>
      <c r="BY22" s="10"/>
      <c r="BZ22" t="s">
        <v>947</v>
      </c>
      <c r="CA22"/>
      <c r="CB22" s="34"/>
      <c r="CC22" s="34"/>
      <c r="CD22" s="34"/>
      <c r="CE22" s="141"/>
    </row>
    <row r="23" spans="1:83">
      <c r="A23" s="35" t="s">
        <v>194</v>
      </c>
      <c r="B23" s="9" t="s">
        <v>856</v>
      </c>
      <c r="C23" s="9" t="s">
        <v>54</v>
      </c>
      <c r="D23" s="10" t="s">
        <v>1</v>
      </c>
      <c r="E23" s="9" t="s">
        <v>115</v>
      </c>
      <c r="F23" s="36" t="s">
        <v>99</v>
      </c>
      <c r="G23" s="9" t="s">
        <v>100</v>
      </c>
      <c r="H23" s="3" t="s">
        <v>128</v>
      </c>
      <c r="I23" s="9" t="s">
        <v>100</v>
      </c>
      <c r="J23" s="36" t="s">
        <v>101</v>
      </c>
      <c r="K23" s="10" t="s">
        <v>559</v>
      </c>
      <c r="L23" s="10" t="s">
        <v>559</v>
      </c>
      <c r="M23" s="9" t="s">
        <v>100</v>
      </c>
      <c r="N23" s="10" t="s">
        <v>437</v>
      </c>
      <c r="O23" s="9" t="s">
        <v>100</v>
      </c>
      <c r="P23" s="10"/>
      <c r="Q23" s="10" t="s">
        <v>437</v>
      </c>
      <c r="R23" s="10" t="s">
        <v>119</v>
      </c>
      <c r="S23" s="10" t="s">
        <v>130</v>
      </c>
      <c r="T23" s="10" t="s">
        <v>120</v>
      </c>
      <c r="U23" s="10" t="s">
        <v>101</v>
      </c>
      <c r="V23" s="10" t="s">
        <v>121</v>
      </c>
      <c r="W23" s="10" t="s">
        <v>122</v>
      </c>
      <c r="X23" s="10" t="s">
        <v>123</v>
      </c>
      <c r="Y23" s="29">
        <v>1</v>
      </c>
      <c r="Z23" s="138" t="s">
        <v>561</v>
      </c>
      <c r="AA23" s="138">
        <v>38071</v>
      </c>
      <c r="AB23" s="9" t="s">
        <v>114</v>
      </c>
      <c r="AC23" s="9" t="s">
        <v>124</v>
      </c>
      <c r="AD23" s="15">
        <v>44651</v>
      </c>
      <c r="AE23" s="39" t="s">
        <v>125</v>
      </c>
      <c r="AF23" s="177">
        <v>6</v>
      </c>
      <c r="AG23" s="140">
        <v>0</v>
      </c>
      <c r="AH23" s="9">
        <v>0</v>
      </c>
      <c r="AI23" s="10" t="s">
        <v>126</v>
      </c>
      <c r="AJ23" s="10"/>
      <c r="AK23" s="29"/>
      <c r="AL23" s="12">
        <v>1</v>
      </c>
      <c r="AM23" s="10"/>
      <c r="AN23" s="12">
        <f>FAR[[#This Row],[Opening RUL]]+FAR[[#This Row],[RUL Adjustment]]</f>
        <v>1</v>
      </c>
      <c r="AO23" s="12">
        <f>FAR[[#This Row],[Opening RUL 30 June 2026]]-1</f>
        <v>0</v>
      </c>
      <c r="AP23" s="12" t="s">
        <v>1051</v>
      </c>
      <c r="AQ23" s="139"/>
      <c r="AR23" s="10" t="s">
        <v>127</v>
      </c>
      <c r="AS23" s="13">
        <v>5120.88</v>
      </c>
      <c r="AT23" s="13"/>
      <c r="AU23" s="13">
        <v>0</v>
      </c>
      <c r="AV23" s="13">
        <v>0</v>
      </c>
      <c r="AW23" s="13">
        <v>0</v>
      </c>
      <c r="AX23" s="13">
        <v>5120.88</v>
      </c>
      <c r="AY23" s="13">
        <v>284.49333333333288</v>
      </c>
      <c r="AZ23" s="13">
        <v>0</v>
      </c>
      <c r="BA23" s="13"/>
      <c r="BB23" s="13"/>
      <c r="BC23" s="13">
        <v>-4836.3866666666672</v>
      </c>
      <c r="BD23" s="13"/>
      <c r="BE23" s="13" t="s">
        <v>114</v>
      </c>
      <c r="BF23" s="29"/>
      <c r="BG23" s="13"/>
      <c r="BH23" s="13">
        <f>-FAR[[#This Row],[Carrying value (opening balance)]]/FAR[[#This Row],[Opening RUL 30 June 2026]]</f>
        <v>-284.49333333333288</v>
      </c>
      <c r="BI23" s="13">
        <f>FAR[[#This Row],[Depreciation YTD]]/12</f>
        <v>-23.707777777777739</v>
      </c>
      <c r="BJ23" s="13"/>
      <c r="BK23" s="13" t="s">
        <v>116</v>
      </c>
      <c r="BL23" s="13">
        <v>0</v>
      </c>
      <c r="BM23" s="13">
        <f>FAR[[#This Row],[Accumulated depreciation (Opening balance)]]+FAR[[#This Row],[Depreciation YTD]]+FAR[[#This Row],[Derecognitions (acc dep) '[+']]]</f>
        <v>-5120.88</v>
      </c>
      <c r="BN23" s="13"/>
      <c r="BO23" s="13"/>
      <c r="BP23" s="13"/>
      <c r="BQ23" s="13"/>
      <c r="BR2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3" s="13">
        <f>FAR[[#This Row],[Cost Price (closing balance)]]+FAR[[#This Row],[Accumulated depreciation (Closing balance)]]+FAR[[#This Row],[Accumulated impairments (Closing balance)]]</f>
        <v>0</v>
      </c>
      <c r="BT23" s="13"/>
      <c r="BU23" s="13"/>
      <c r="BV23" s="13"/>
      <c r="BW23" s="10" t="s">
        <v>167</v>
      </c>
      <c r="BX23" s="9" t="s">
        <v>168</v>
      </c>
      <c r="BY23" s="10"/>
      <c r="BZ23" t="s">
        <v>940</v>
      </c>
      <c r="CA23"/>
      <c r="CB23" s="34"/>
      <c r="CC23" s="34"/>
      <c r="CD23" s="34"/>
      <c r="CE23" s="141"/>
    </row>
    <row r="24" spans="1:83">
      <c r="A24" s="35" t="s">
        <v>195</v>
      </c>
      <c r="B24" s="9" t="s">
        <v>864</v>
      </c>
      <c r="C24" s="9" t="s">
        <v>54</v>
      </c>
      <c r="D24" s="10" t="s">
        <v>1</v>
      </c>
      <c r="E24" s="9" t="s">
        <v>115</v>
      </c>
      <c r="F24" s="36" t="s">
        <v>99</v>
      </c>
      <c r="G24" s="9" t="s">
        <v>100</v>
      </c>
      <c r="H24" s="3" t="s">
        <v>128</v>
      </c>
      <c r="I24" s="9" t="s">
        <v>100</v>
      </c>
      <c r="J24" s="36" t="s">
        <v>101</v>
      </c>
      <c r="K24" s="10" t="s">
        <v>559</v>
      </c>
      <c r="L24" s="10" t="s">
        <v>559</v>
      </c>
      <c r="M24" s="9" t="s">
        <v>100</v>
      </c>
      <c r="N24" s="10" t="s">
        <v>438</v>
      </c>
      <c r="O24" s="9" t="s">
        <v>100</v>
      </c>
      <c r="P24" s="10"/>
      <c r="Q24" s="10" t="s">
        <v>438</v>
      </c>
      <c r="R24" s="10" t="s">
        <v>119</v>
      </c>
      <c r="S24" s="10" t="s">
        <v>130</v>
      </c>
      <c r="T24" s="10" t="s">
        <v>120</v>
      </c>
      <c r="U24" s="10" t="s">
        <v>101</v>
      </c>
      <c r="V24" s="10" t="s">
        <v>121</v>
      </c>
      <c r="W24" s="10" t="s">
        <v>122</v>
      </c>
      <c r="X24" s="10" t="s">
        <v>123</v>
      </c>
      <c r="Y24" s="29">
        <v>1</v>
      </c>
      <c r="Z24" s="138" t="s">
        <v>561</v>
      </c>
      <c r="AA24" s="138">
        <v>38071</v>
      </c>
      <c r="AB24" s="9" t="s">
        <v>114</v>
      </c>
      <c r="AC24" s="9" t="s">
        <v>124</v>
      </c>
      <c r="AD24" s="15">
        <v>44651</v>
      </c>
      <c r="AE24" s="39" t="s">
        <v>125</v>
      </c>
      <c r="AF24" s="177">
        <v>6</v>
      </c>
      <c r="AG24" s="140">
        <v>0</v>
      </c>
      <c r="AH24" s="9">
        <v>0</v>
      </c>
      <c r="AI24" s="10" t="s">
        <v>126</v>
      </c>
      <c r="AJ24" s="10"/>
      <c r="AK24" s="29"/>
      <c r="AL24" s="12">
        <v>1</v>
      </c>
      <c r="AM24" s="10"/>
      <c r="AN24" s="12">
        <f>FAR[[#This Row],[Opening RUL]]+FAR[[#This Row],[RUL Adjustment]]</f>
        <v>1</v>
      </c>
      <c r="AO24" s="12">
        <f>FAR[[#This Row],[Opening RUL 30 June 2026]]-1</f>
        <v>0</v>
      </c>
      <c r="AP24" s="12" t="s">
        <v>1050</v>
      </c>
      <c r="AQ24" s="139"/>
      <c r="AR24" s="10" t="s">
        <v>127</v>
      </c>
      <c r="AS24" s="13">
        <v>18910.32</v>
      </c>
      <c r="AT24" s="13"/>
      <c r="AU24" s="13">
        <v>0</v>
      </c>
      <c r="AV24" s="13">
        <v>0</v>
      </c>
      <c r="AW24" s="13">
        <v>0</v>
      </c>
      <c r="AX24" s="13">
        <v>18910.32</v>
      </c>
      <c r="AY24" s="13">
        <v>1050.5733333333337</v>
      </c>
      <c r="AZ24" s="13">
        <v>0</v>
      </c>
      <c r="BA24" s="13"/>
      <c r="BB24" s="13"/>
      <c r="BC24" s="13">
        <v>-17859.746666666666</v>
      </c>
      <c r="BD24" s="13"/>
      <c r="BE24" s="13" t="s">
        <v>114</v>
      </c>
      <c r="BF24" s="29"/>
      <c r="BG24" s="13"/>
      <c r="BH24" s="13">
        <f>-FAR[[#This Row],[Carrying value (opening balance)]]/FAR[[#This Row],[Opening RUL 30 June 2026]]</f>
        <v>-1050.5733333333337</v>
      </c>
      <c r="BI24" s="13">
        <f>FAR[[#This Row],[Depreciation YTD]]/12</f>
        <v>-87.54777777777781</v>
      </c>
      <c r="BJ24" s="13"/>
      <c r="BK24" s="13" t="s">
        <v>116</v>
      </c>
      <c r="BL24" s="13">
        <v>0</v>
      </c>
      <c r="BM24" s="13">
        <f>FAR[[#This Row],[Accumulated depreciation (Opening balance)]]+FAR[[#This Row],[Depreciation YTD]]+FAR[[#This Row],[Derecognitions (acc dep) '[+']]]</f>
        <v>-18910.32</v>
      </c>
      <c r="BN24" s="13"/>
      <c r="BO24" s="13"/>
      <c r="BP24" s="13"/>
      <c r="BQ24" s="13"/>
      <c r="BR2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4" s="13">
        <f>FAR[[#This Row],[Cost Price (closing balance)]]+FAR[[#This Row],[Accumulated depreciation (Closing balance)]]+FAR[[#This Row],[Accumulated impairments (Closing balance)]]</f>
        <v>0</v>
      </c>
      <c r="BT24" s="13"/>
      <c r="BU24" s="13"/>
      <c r="BV24" s="13"/>
      <c r="BW24" s="10" t="s">
        <v>167</v>
      </c>
      <c r="BX24" s="9" t="s">
        <v>168</v>
      </c>
      <c r="BY24" s="10"/>
      <c r="BZ24" t="s">
        <v>948</v>
      </c>
      <c r="CA24"/>
      <c r="CB24" s="34"/>
      <c r="CC24" s="34"/>
      <c r="CD24" s="34"/>
      <c r="CE24" s="141"/>
    </row>
    <row r="25" spans="1:83">
      <c r="A25" s="35" t="s">
        <v>196</v>
      </c>
      <c r="B25" s="9" t="s">
        <v>851</v>
      </c>
      <c r="C25" s="9" t="s">
        <v>54</v>
      </c>
      <c r="D25" s="10" t="s">
        <v>1</v>
      </c>
      <c r="E25" s="9" t="s">
        <v>115</v>
      </c>
      <c r="F25" s="36" t="s">
        <v>99</v>
      </c>
      <c r="G25" s="9" t="s">
        <v>100</v>
      </c>
      <c r="H25" s="3" t="s">
        <v>128</v>
      </c>
      <c r="I25" s="9" t="s">
        <v>100</v>
      </c>
      <c r="J25" s="36" t="s">
        <v>101</v>
      </c>
      <c r="K25" s="10" t="s">
        <v>559</v>
      </c>
      <c r="L25" s="10" t="s">
        <v>559</v>
      </c>
      <c r="M25" s="9" t="s">
        <v>100</v>
      </c>
      <c r="N25" s="10" t="s">
        <v>439</v>
      </c>
      <c r="O25" s="9" t="s">
        <v>100</v>
      </c>
      <c r="P25" s="10"/>
      <c r="Q25" s="10" t="s">
        <v>439</v>
      </c>
      <c r="R25" s="10" t="s">
        <v>119</v>
      </c>
      <c r="S25" s="10" t="s">
        <v>130</v>
      </c>
      <c r="T25" s="10" t="s">
        <v>120</v>
      </c>
      <c r="U25" s="10" t="s">
        <v>101</v>
      </c>
      <c r="V25" s="10" t="s">
        <v>121</v>
      </c>
      <c r="W25" s="10" t="s">
        <v>122</v>
      </c>
      <c r="X25" s="10" t="s">
        <v>123</v>
      </c>
      <c r="Y25" s="29">
        <v>1</v>
      </c>
      <c r="Z25" s="138" t="s">
        <v>561</v>
      </c>
      <c r="AA25" s="138">
        <v>38071</v>
      </c>
      <c r="AB25" s="9" t="s">
        <v>114</v>
      </c>
      <c r="AC25" s="9" t="s">
        <v>124</v>
      </c>
      <c r="AD25" s="15">
        <v>44651</v>
      </c>
      <c r="AE25" s="39" t="s">
        <v>125</v>
      </c>
      <c r="AF25" s="177">
        <v>6</v>
      </c>
      <c r="AG25" s="140">
        <v>0</v>
      </c>
      <c r="AH25" s="9">
        <v>0</v>
      </c>
      <c r="AI25" s="10" t="s">
        <v>126</v>
      </c>
      <c r="AJ25" s="10"/>
      <c r="AK25" s="29"/>
      <c r="AL25" s="12">
        <v>1</v>
      </c>
      <c r="AM25" s="10"/>
      <c r="AN25" s="12">
        <f>FAR[[#This Row],[Opening RUL]]+FAR[[#This Row],[RUL Adjustment]]</f>
        <v>1</v>
      </c>
      <c r="AO25" s="12">
        <f>FAR[[#This Row],[Opening RUL 30 June 2026]]-1</f>
        <v>0</v>
      </c>
      <c r="AP25" s="12" t="s">
        <v>1050</v>
      </c>
      <c r="AQ25" s="139"/>
      <c r="AR25" s="10" t="s">
        <v>127</v>
      </c>
      <c r="AS25" s="13">
        <v>4407.24</v>
      </c>
      <c r="AT25" s="13"/>
      <c r="AU25" s="13">
        <v>0</v>
      </c>
      <c r="AV25" s="13">
        <v>0</v>
      </c>
      <c r="AW25" s="13">
        <v>0</v>
      </c>
      <c r="AX25" s="13">
        <v>4407.24</v>
      </c>
      <c r="AY25" s="13">
        <v>244.84666666666635</v>
      </c>
      <c r="AZ25" s="13">
        <v>0</v>
      </c>
      <c r="BA25" s="13"/>
      <c r="BB25" s="13"/>
      <c r="BC25" s="13">
        <v>-4162.3933333333334</v>
      </c>
      <c r="BD25" s="13"/>
      <c r="BE25" s="13" t="s">
        <v>114</v>
      </c>
      <c r="BF25" s="29"/>
      <c r="BG25" s="13"/>
      <c r="BH25" s="13">
        <f>-FAR[[#This Row],[Carrying value (opening balance)]]/FAR[[#This Row],[Opening RUL 30 June 2026]]</f>
        <v>-244.84666666666635</v>
      </c>
      <c r="BI25" s="13">
        <f>FAR[[#This Row],[Depreciation YTD]]/12</f>
        <v>-20.403888888888861</v>
      </c>
      <c r="BJ25" s="13"/>
      <c r="BK25" s="13" t="s">
        <v>116</v>
      </c>
      <c r="BL25" s="13">
        <v>0</v>
      </c>
      <c r="BM25" s="13">
        <f>FAR[[#This Row],[Accumulated depreciation (Opening balance)]]+FAR[[#This Row],[Depreciation YTD]]+FAR[[#This Row],[Derecognitions (acc dep) '[+']]]</f>
        <v>-4407.24</v>
      </c>
      <c r="BN25" s="13"/>
      <c r="BO25" s="13"/>
      <c r="BP25" s="13"/>
      <c r="BQ25" s="13"/>
      <c r="BR2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5" s="13">
        <f>FAR[[#This Row],[Cost Price (closing balance)]]+FAR[[#This Row],[Accumulated depreciation (Closing balance)]]+FAR[[#This Row],[Accumulated impairments (Closing balance)]]</f>
        <v>0</v>
      </c>
      <c r="BT25" s="13"/>
      <c r="BU25" s="13"/>
      <c r="BV25" s="13"/>
      <c r="BW25" s="10" t="s">
        <v>167</v>
      </c>
      <c r="BX25" s="9" t="s">
        <v>168</v>
      </c>
      <c r="BY25" s="10"/>
      <c r="BZ25" t="s">
        <v>949</v>
      </c>
      <c r="CA25"/>
      <c r="CB25" s="34"/>
      <c r="CC25" s="34"/>
      <c r="CD25" s="34"/>
      <c r="CE25" s="141"/>
    </row>
    <row r="26" spans="1:83">
      <c r="A26" s="35" t="s">
        <v>197</v>
      </c>
      <c r="B26" s="9" t="s">
        <v>864</v>
      </c>
      <c r="C26" s="9" t="s">
        <v>54</v>
      </c>
      <c r="D26" s="10" t="s">
        <v>1</v>
      </c>
      <c r="E26" s="9" t="s">
        <v>115</v>
      </c>
      <c r="F26" s="36" t="s">
        <v>99</v>
      </c>
      <c r="G26" s="9" t="s">
        <v>100</v>
      </c>
      <c r="H26" s="3" t="s">
        <v>128</v>
      </c>
      <c r="I26" s="9" t="s">
        <v>100</v>
      </c>
      <c r="J26" s="36" t="s">
        <v>101</v>
      </c>
      <c r="K26" s="10" t="s">
        <v>559</v>
      </c>
      <c r="L26" s="10" t="s">
        <v>559</v>
      </c>
      <c r="M26" s="9" t="s">
        <v>100</v>
      </c>
      <c r="N26" s="10" t="s">
        <v>440</v>
      </c>
      <c r="O26" s="9" t="s">
        <v>100</v>
      </c>
      <c r="P26" s="10"/>
      <c r="Q26" s="10" t="s">
        <v>440</v>
      </c>
      <c r="R26" s="10" t="s">
        <v>119</v>
      </c>
      <c r="S26" s="10" t="s">
        <v>130</v>
      </c>
      <c r="T26" s="10" t="s">
        <v>120</v>
      </c>
      <c r="U26" s="10" t="s">
        <v>101</v>
      </c>
      <c r="V26" s="10" t="s">
        <v>121</v>
      </c>
      <c r="W26" s="10" t="s">
        <v>122</v>
      </c>
      <c r="X26" s="10" t="s">
        <v>123</v>
      </c>
      <c r="Y26" s="29">
        <v>1</v>
      </c>
      <c r="Z26" s="138" t="s">
        <v>561</v>
      </c>
      <c r="AA26" s="138">
        <v>38071</v>
      </c>
      <c r="AB26" s="9" t="s">
        <v>114</v>
      </c>
      <c r="AC26" s="9" t="s">
        <v>124</v>
      </c>
      <c r="AD26" s="15">
        <v>44651</v>
      </c>
      <c r="AE26" s="39" t="s">
        <v>125</v>
      </c>
      <c r="AF26" s="177">
        <v>6</v>
      </c>
      <c r="AG26" s="140">
        <v>0</v>
      </c>
      <c r="AH26" s="9">
        <v>0</v>
      </c>
      <c r="AI26" s="10" t="s">
        <v>126</v>
      </c>
      <c r="AJ26" s="10"/>
      <c r="AK26" s="29"/>
      <c r="AL26" s="12">
        <v>1</v>
      </c>
      <c r="AM26" s="10"/>
      <c r="AN26" s="12">
        <f>FAR[[#This Row],[Opening RUL]]+FAR[[#This Row],[RUL Adjustment]]</f>
        <v>1</v>
      </c>
      <c r="AO26" s="12">
        <f>FAR[[#This Row],[Opening RUL 30 June 2026]]-1</f>
        <v>0</v>
      </c>
      <c r="AP26" s="12" t="s">
        <v>1050</v>
      </c>
      <c r="AQ26" s="139"/>
      <c r="AR26" s="10" t="s">
        <v>127</v>
      </c>
      <c r="AS26" s="13">
        <v>13866.96</v>
      </c>
      <c r="AT26" s="13"/>
      <c r="AU26" s="13">
        <v>0</v>
      </c>
      <c r="AV26" s="13">
        <v>0</v>
      </c>
      <c r="AW26" s="13">
        <v>0</v>
      </c>
      <c r="AX26" s="13">
        <v>13866.96</v>
      </c>
      <c r="AY26" s="13">
        <v>770.38666666666541</v>
      </c>
      <c r="AZ26" s="13">
        <v>0</v>
      </c>
      <c r="BA26" s="13"/>
      <c r="BB26" s="13"/>
      <c r="BC26" s="13">
        <v>-13096.573333333334</v>
      </c>
      <c r="BD26" s="13"/>
      <c r="BE26" s="13" t="s">
        <v>114</v>
      </c>
      <c r="BF26" s="29"/>
      <c r="BG26" s="13"/>
      <c r="BH26" s="13">
        <f>-FAR[[#This Row],[Carrying value (opening balance)]]/FAR[[#This Row],[Opening RUL 30 June 2026]]</f>
        <v>-770.38666666666541</v>
      </c>
      <c r="BI26" s="13">
        <f>FAR[[#This Row],[Depreciation YTD]]/12</f>
        <v>-64.198888888888789</v>
      </c>
      <c r="BJ26" s="13"/>
      <c r="BK26" s="13" t="s">
        <v>116</v>
      </c>
      <c r="BL26" s="13">
        <v>0</v>
      </c>
      <c r="BM26" s="13">
        <f>FAR[[#This Row],[Accumulated depreciation (Opening balance)]]+FAR[[#This Row],[Depreciation YTD]]+FAR[[#This Row],[Derecognitions (acc dep) '[+']]]</f>
        <v>-13866.96</v>
      </c>
      <c r="BN26" s="13"/>
      <c r="BO26" s="13"/>
      <c r="BP26" s="13"/>
      <c r="BQ26" s="13"/>
      <c r="BR2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6" s="13">
        <f>FAR[[#This Row],[Cost Price (closing balance)]]+FAR[[#This Row],[Accumulated depreciation (Closing balance)]]+FAR[[#This Row],[Accumulated impairments (Closing balance)]]</f>
        <v>0</v>
      </c>
      <c r="BT26" s="13"/>
      <c r="BU26" s="13"/>
      <c r="BV26" s="13"/>
      <c r="BW26" s="10" t="s">
        <v>167</v>
      </c>
      <c r="BX26" s="9" t="s">
        <v>168</v>
      </c>
      <c r="BY26" s="10"/>
      <c r="BZ26" t="s">
        <v>948</v>
      </c>
      <c r="CA26"/>
      <c r="CB26" s="34"/>
      <c r="CC26" s="34"/>
      <c r="CD26" s="34"/>
      <c r="CE26" s="141"/>
    </row>
    <row r="27" spans="1:83">
      <c r="A27" s="35" t="s">
        <v>198</v>
      </c>
      <c r="B27" s="9" t="s">
        <v>865</v>
      </c>
      <c r="C27" s="9" t="s">
        <v>54</v>
      </c>
      <c r="D27" s="10" t="s">
        <v>1</v>
      </c>
      <c r="E27" s="9" t="s">
        <v>115</v>
      </c>
      <c r="F27" s="36" t="s">
        <v>99</v>
      </c>
      <c r="G27" s="9" t="s">
        <v>100</v>
      </c>
      <c r="H27" s="3" t="s">
        <v>128</v>
      </c>
      <c r="I27" s="9" t="s">
        <v>100</v>
      </c>
      <c r="J27" s="36" t="s">
        <v>101</v>
      </c>
      <c r="K27" s="10" t="s">
        <v>559</v>
      </c>
      <c r="L27" s="10" t="s">
        <v>559</v>
      </c>
      <c r="M27" s="9" t="s">
        <v>100</v>
      </c>
      <c r="N27" s="10" t="s">
        <v>441</v>
      </c>
      <c r="O27" s="9" t="s">
        <v>100</v>
      </c>
      <c r="P27" s="10"/>
      <c r="Q27" s="10" t="s">
        <v>441</v>
      </c>
      <c r="R27" s="10" t="s">
        <v>119</v>
      </c>
      <c r="S27" s="10" t="s">
        <v>130</v>
      </c>
      <c r="T27" s="10" t="s">
        <v>120</v>
      </c>
      <c r="U27" s="10" t="s">
        <v>101</v>
      </c>
      <c r="V27" s="10" t="s">
        <v>121</v>
      </c>
      <c r="W27" s="10" t="s">
        <v>122</v>
      </c>
      <c r="X27" s="10" t="s">
        <v>123</v>
      </c>
      <c r="Y27" s="29">
        <v>1</v>
      </c>
      <c r="Z27" s="138" t="s">
        <v>561</v>
      </c>
      <c r="AA27" s="138">
        <v>38071</v>
      </c>
      <c r="AB27" s="9" t="s">
        <v>114</v>
      </c>
      <c r="AC27" s="9" t="s">
        <v>124</v>
      </c>
      <c r="AD27" s="15">
        <v>44651</v>
      </c>
      <c r="AE27" s="39" t="s">
        <v>125</v>
      </c>
      <c r="AF27" s="177">
        <v>6</v>
      </c>
      <c r="AG27" s="140">
        <v>0</v>
      </c>
      <c r="AH27" s="9">
        <v>0</v>
      </c>
      <c r="AI27" s="10" t="s">
        <v>126</v>
      </c>
      <c r="AJ27" s="10"/>
      <c r="AK27" s="29"/>
      <c r="AL27" s="12">
        <v>1</v>
      </c>
      <c r="AM27" s="10"/>
      <c r="AN27" s="12">
        <f>FAR[[#This Row],[Opening RUL]]+FAR[[#This Row],[RUL Adjustment]]</f>
        <v>1</v>
      </c>
      <c r="AO27" s="12">
        <f>FAR[[#This Row],[Opening RUL 30 June 2026]]-1</f>
        <v>0</v>
      </c>
      <c r="AP27" s="12" t="s">
        <v>1050</v>
      </c>
      <c r="AQ27" s="139"/>
      <c r="AR27" s="10" t="s">
        <v>127</v>
      </c>
      <c r="AS27" s="13">
        <v>8980.92</v>
      </c>
      <c r="AT27" s="13"/>
      <c r="AU27" s="13">
        <v>0</v>
      </c>
      <c r="AV27" s="13">
        <v>0</v>
      </c>
      <c r="AW27" s="13">
        <v>0</v>
      </c>
      <c r="AX27" s="13">
        <v>8980.92</v>
      </c>
      <c r="AY27" s="13">
        <v>498.94000000000051</v>
      </c>
      <c r="AZ27" s="13">
        <v>0</v>
      </c>
      <c r="BA27" s="13"/>
      <c r="BB27" s="13"/>
      <c r="BC27" s="13">
        <v>-8481.98</v>
      </c>
      <c r="BD27" s="13"/>
      <c r="BE27" s="13" t="s">
        <v>114</v>
      </c>
      <c r="BF27" s="29"/>
      <c r="BG27" s="13"/>
      <c r="BH27" s="13">
        <f>-FAR[[#This Row],[Carrying value (opening balance)]]/FAR[[#This Row],[Opening RUL 30 June 2026]]</f>
        <v>-498.94000000000051</v>
      </c>
      <c r="BI27" s="13">
        <f>FAR[[#This Row],[Depreciation YTD]]/12</f>
        <v>-41.578333333333376</v>
      </c>
      <c r="BJ27" s="13"/>
      <c r="BK27" s="13" t="s">
        <v>116</v>
      </c>
      <c r="BL27" s="13">
        <v>0</v>
      </c>
      <c r="BM27" s="13">
        <f>FAR[[#This Row],[Accumulated depreciation (Opening balance)]]+FAR[[#This Row],[Depreciation YTD]]+FAR[[#This Row],[Derecognitions (acc dep) '[+']]]</f>
        <v>-8980.92</v>
      </c>
      <c r="BN27" s="13"/>
      <c r="BO27" s="13"/>
      <c r="BP27" s="13"/>
      <c r="BQ27" s="13"/>
      <c r="BR2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7" s="13">
        <f>FAR[[#This Row],[Cost Price (closing balance)]]+FAR[[#This Row],[Accumulated depreciation (Closing balance)]]+FAR[[#This Row],[Accumulated impairments (Closing balance)]]</f>
        <v>0</v>
      </c>
      <c r="BT27" s="13"/>
      <c r="BU27" s="13"/>
      <c r="BV27" s="13"/>
      <c r="BW27" s="10" t="s">
        <v>167</v>
      </c>
      <c r="BX27" s="9" t="s">
        <v>168</v>
      </c>
      <c r="BY27" s="10"/>
      <c r="BZ27" t="s">
        <v>938</v>
      </c>
      <c r="CA27"/>
      <c r="CB27" s="34"/>
      <c r="CC27" s="34"/>
      <c r="CD27" s="34"/>
      <c r="CE27" s="141"/>
    </row>
    <row r="28" spans="1:83">
      <c r="A28" s="35" t="s">
        <v>199</v>
      </c>
      <c r="B28" s="9" t="s">
        <v>856</v>
      </c>
      <c r="C28" s="9" t="s">
        <v>54</v>
      </c>
      <c r="D28" s="10" t="s">
        <v>1</v>
      </c>
      <c r="E28" s="9" t="s">
        <v>115</v>
      </c>
      <c r="F28" s="36" t="s">
        <v>99</v>
      </c>
      <c r="G28" s="9" t="s">
        <v>100</v>
      </c>
      <c r="H28" s="3" t="s">
        <v>128</v>
      </c>
      <c r="I28" s="9" t="s">
        <v>100</v>
      </c>
      <c r="J28" s="36" t="s">
        <v>101</v>
      </c>
      <c r="K28" s="10" t="s">
        <v>559</v>
      </c>
      <c r="L28" s="10" t="s">
        <v>559</v>
      </c>
      <c r="M28" s="9" t="s">
        <v>100</v>
      </c>
      <c r="N28" s="10" t="s">
        <v>442</v>
      </c>
      <c r="O28" s="9" t="s">
        <v>100</v>
      </c>
      <c r="P28" s="10"/>
      <c r="Q28" s="10" t="s">
        <v>442</v>
      </c>
      <c r="R28" s="10" t="s">
        <v>119</v>
      </c>
      <c r="S28" s="10" t="s">
        <v>130</v>
      </c>
      <c r="T28" s="10" t="s">
        <v>120</v>
      </c>
      <c r="U28" s="10" t="s">
        <v>101</v>
      </c>
      <c r="V28" s="10" t="s">
        <v>121</v>
      </c>
      <c r="W28" s="10" t="s">
        <v>122</v>
      </c>
      <c r="X28" s="10" t="s">
        <v>123</v>
      </c>
      <c r="Y28" s="29">
        <v>1</v>
      </c>
      <c r="Z28" s="138" t="s">
        <v>561</v>
      </c>
      <c r="AA28" s="138">
        <v>38071</v>
      </c>
      <c r="AB28" s="9" t="s">
        <v>114</v>
      </c>
      <c r="AC28" s="9" t="s">
        <v>124</v>
      </c>
      <c r="AD28" s="15">
        <v>44651</v>
      </c>
      <c r="AE28" s="39" t="s">
        <v>125</v>
      </c>
      <c r="AF28" s="177">
        <v>6</v>
      </c>
      <c r="AG28" s="140">
        <v>0</v>
      </c>
      <c r="AH28" s="9">
        <v>0</v>
      </c>
      <c r="AI28" s="10" t="s">
        <v>126</v>
      </c>
      <c r="AJ28" s="10"/>
      <c r="AK28" s="29"/>
      <c r="AL28" s="12">
        <v>1</v>
      </c>
      <c r="AM28" s="10"/>
      <c r="AN28" s="12">
        <f>FAR[[#This Row],[Opening RUL]]+FAR[[#This Row],[RUL Adjustment]]</f>
        <v>1</v>
      </c>
      <c r="AO28" s="12">
        <f>FAR[[#This Row],[Opening RUL 30 June 2026]]-1</f>
        <v>0</v>
      </c>
      <c r="AP28" s="12" t="s">
        <v>1051</v>
      </c>
      <c r="AQ28" s="139"/>
      <c r="AR28" s="10" t="s">
        <v>127</v>
      </c>
      <c r="AS28" s="13">
        <v>5120.88</v>
      </c>
      <c r="AT28" s="13"/>
      <c r="AU28" s="13">
        <v>0</v>
      </c>
      <c r="AV28" s="13">
        <v>0</v>
      </c>
      <c r="AW28" s="13">
        <v>0</v>
      </c>
      <c r="AX28" s="13">
        <v>5120.88</v>
      </c>
      <c r="AY28" s="13">
        <v>284.49333333333288</v>
      </c>
      <c r="AZ28" s="13">
        <v>0</v>
      </c>
      <c r="BA28" s="13"/>
      <c r="BB28" s="13"/>
      <c r="BC28" s="13">
        <v>-4836.3866666666672</v>
      </c>
      <c r="BD28" s="13"/>
      <c r="BE28" s="13" t="s">
        <v>114</v>
      </c>
      <c r="BF28" s="29"/>
      <c r="BG28" s="13"/>
      <c r="BH28" s="13">
        <f>-FAR[[#This Row],[Carrying value (opening balance)]]/FAR[[#This Row],[Opening RUL 30 June 2026]]</f>
        <v>-284.49333333333288</v>
      </c>
      <c r="BI28" s="13">
        <f>FAR[[#This Row],[Depreciation YTD]]/12</f>
        <v>-23.707777777777739</v>
      </c>
      <c r="BJ28" s="13"/>
      <c r="BK28" s="13" t="s">
        <v>116</v>
      </c>
      <c r="BL28" s="13">
        <v>0</v>
      </c>
      <c r="BM28" s="13">
        <f>FAR[[#This Row],[Accumulated depreciation (Opening balance)]]+FAR[[#This Row],[Depreciation YTD]]+FAR[[#This Row],[Derecognitions (acc dep) '[+']]]</f>
        <v>-5120.88</v>
      </c>
      <c r="BN28" s="13"/>
      <c r="BO28" s="13"/>
      <c r="BP28" s="13"/>
      <c r="BQ28" s="13"/>
      <c r="BR2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8" s="13">
        <f>FAR[[#This Row],[Cost Price (closing balance)]]+FAR[[#This Row],[Accumulated depreciation (Closing balance)]]+FAR[[#This Row],[Accumulated impairments (Closing balance)]]</f>
        <v>0</v>
      </c>
      <c r="BT28" s="13"/>
      <c r="BU28" s="13"/>
      <c r="BV28" s="13"/>
      <c r="BW28" s="10" t="s">
        <v>167</v>
      </c>
      <c r="BX28" s="9" t="s">
        <v>168</v>
      </c>
      <c r="BY28" s="10"/>
      <c r="BZ28" t="s">
        <v>940</v>
      </c>
      <c r="CA28"/>
      <c r="CB28" s="34"/>
      <c r="CC28" s="34"/>
      <c r="CD28" s="34"/>
      <c r="CE28" s="141"/>
    </row>
    <row r="29" spans="1:83">
      <c r="A29" s="35" t="s">
        <v>200</v>
      </c>
      <c r="B29" s="9" t="s">
        <v>856</v>
      </c>
      <c r="C29" s="9" t="s">
        <v>54</v>
      </c>
      <c r="D29" s="10" t="s">
        <v>1</v>
      </c>
      <c r="E29" s="9" t="s">
        <v>115</v>
      </c>
      <c r="F29" s="36" t="s">
        <v>99</v>
      </c>
      <c r="G29" s="9" t="s">
        <v>100</v>
      </c>
      <c r="H29" s="3" t="s">
        <v>128</v>
      </c>
      <c r="I29" s="9" t="s">
        <v>100</v>
      </c>
      <c r="J29" s="36" t="s">
        <v>101</v>
      </c>
      <c r="K29" s="10" t="s">
        <v>559</v>
      </c>
      <c r="L29" s="10" t="s">
        <v>559</v>
      </c>
      <c r="M29" s="9" t="s">
        <v>100</v>
      </c>
      <c r="N29" s="10" t="s">
        <v>443</v>
      </c>
      <c r="O29" s="9" t="s">
        <v>100</v>
      </c>
      <c r="P29" s="10"/>
      <c r="Q29" s="10" t="s">
        <v>443</v>
      </c>
      <c r="R29" s="10" t="s">
        <v>119</v>
      </c>
      <c r="S29" s="10" t="s">
        <v>130</v>
      </c>
      <c r="T29" s="10" t="s">
        <v>120</v>
      </c>
      <c r="U29" s="10" t="s">
        <v>101</v>
      </c>
      <c r="V29" s="10" t="s">
        <v>121</v>
      </c>
      <c r="W29" s="10" t="s">
        <v>122</v>
      </c>
      <c r="X29" s="10" t="s">
        <v>123</v>
      </c>
      <c r="Y29" s="29">
        <v>1</v>
      </c>
      <c r="Z29" s="138" t="s">
        <v>561</v>
      </c>
      <c r="AA29" s="138">
        <v>38071</v>
      </c>
      <c r="AB29" s="9" t="s">
        <v>114</v>
      </c>
      <c r="AC29" s="9" t="s">
        <v>124</v>
      </c>
      <c r="AD29" s="15">
        <v>44651</v>
      </c>
      <c r="AE29" s="39" t="s">
        <v>125</v>
      </c>
      <c r="AF29" s="177">
        <v>6</v>
      </c>
      <c r="AG29" s="140">
        <v>0</v>
      </c>
      <c r="AH29" s="9">
        <v>0</v>
      </c>
      <c r="AI29" s="10" t="s">
        <v>126</v>
      </c>
      <c r="AJ29" s="10"/>
      <c r="AK29" s="29"/>
      <c r="AL29" s="12">
        <v>1</v>
      </c>
      <c r="AM29" s="10"/>
      <c r="AN29" s="12">
        <f>FAR[[#This Row],[Opening RUL]]+FAR[[#This Row],[RUL Adjustment]]</f>
        <v>1</v>
      </c>
      <c r="AO29" s="12">
        <f>FAR[[#This Row],[Opening RUL 30 June 2026]]-1</f>
        <v>0</v>
      </c>
      <c r="AP29" s="12" t="s">
        <v>1051</v>
      </c>
      <c r="AQ29" s="139"/>
      <c r="AR29" s="10" t="s">
        <v>127</v>
      </c>
      <c r="AS29" s="13">
        <v>5120.88</v>
      </c>
      <c r="AT29" s="13"/>
      <c r="AU29" s="13">
        <v>0</v>
      </c>
      <c r="AV29" s="13">
        <v>0</v>
      </c>
      <c r="AW29" s="13">
        <v>0</v>
      </c>
      <c r="AX29" s="13">
        <v>5120.88</v>
      </c>
      <c r="AY29" s="13">
        <v>284.49333333333288</v>
      </c>
      <c r="AZ29" s="13">
        <v>0</v>
      </c>
      <c r="BA29" s="13"/>
      <c r="BB29" s="13"/>
      <c r="BC29" s="13">
        <v>-4836.3866666666672</v>
      </c>
      <c r="BD29" s="13"/>
      <c r="BE29" s="13" t="s">
        <v>114</v>
      </c>
      <c r="BF29" s="29"/>
      <c r="BG29" s="13"/>
      <c r="BH29" s="13">
        <f>-FAR[[#This Row],[Carrying value (opening balance)]]/FAR[[#This Row],[Opening RUL 30 June 2026]]</f>
        <v>-284.49333333333288</v>
      </c>
      <c r="BI29" s="13">
        <f>FAR[[#This Row],[Depreciation YTD]]/12</f>
        <v>-23.707777777777739</v>
      </c>
      <c r="BJ29" s="13"/>
      <c r="BK29" s="13" t="s">
        <v>116</v>
      </c>
      <c r="BL29" s="13">
        <v>0</v>
      </c>
      <c r="BM29" s="13">
        <f>FAR[[#This Row],[Accumulated depreciation (Opening balance)]]+FAR[[#This Row],[Depreciation YTD]]+FAR[[#This Row],[Derecognitions (acc dep) '[+']]]</f>
        <v>-5120.88</v>
      </c>
      <c r="BN29" s="13"/>
      <c r="BO29" s="13"/>
      <c r="BP29" s="13"/>
      <c r="BQ29" s="13"/>
      <c r="BR2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9" s="13">
        <f>FAR[[#This Row],[Cost Price (closing balance)]]+FAR[[#This Row],[Accumulated depreciation (Closing balance)]]+FAR[[#This Row],[Accumulated impairments (Closing balance)]]</f>
        <v>0</v>
      </c>
      <c r="BT29" s="13"/>
      <c r="BU29" s="13"/>
      <c r="BV29" s="13"/>
      <c r="BW29" s="10" t="s">
        <v>167</v>
      </c>
      <c r="BX29" s="9" t="s">
        <v>168</v>
      </c>
      <c r="BY29" s="10"/>
      <c r="BZ29" t="s">
        <v>940</v>
      </c>
      <c r="CA29"/>
      <c r="CB29" s="34"/>
      <c r="CC29" s="34"/>
      <c r="CD29" s="34"/>
      <c r="CE29" s="141"/>
    </row>
    <row r="30" spans="1:83">
      <c r="A30" s="35" t="s">
        <v>201</v>
      </c>
      <c r="B30" s="9">
        <v>0</v>
      </c>
      <c r="C30" s="9" t="s">
        <v>54</v>
      </c>
      <c r="D30" s="10" t="s">
        <v>1</v>
      </c>
      <c r="E30" s="9" t="s">
        <v>115</v>
      </c>
      <c r="F30" s="36" t="s">
        <v>99</v>
      </c>
      <c r="G30" s="9" t="s">
        <v>100</v>
      </c>
      <c r="H30" s="3" t="s">
        <v>128</v>
      </c>
      <c r="I30" s="9" t="s">
        <v>100</v>
      </c>
      <c r="J30" s="36" t="s">
        <v>101</v>
      </c>
      <c r="K30" s="10" t="s">
        <v>559</v>
      </c>
      <c r="L30" s="10" t="s">
        <v>559</v>
      </c>
      <c r="M30" s="9" t="s">
        <v>100</v>
      </c>
      <c r="N30" s="10" t="s">
        <v>444</v>
      </c>
      <c r="O30" s="9" t="s">
        <v>100</v>
      </c>
      <c r="P30" s="10"/>
      <c r="Q30" s="10" t="s">
        <v>444</v>
      </c>
      <c r="R30" s="10" t="s">
        <v>119</v>
      </c>
      <c r="S30" s="10" t="s">
        <v>130</v>
      </c>
      <c r="T30" s="10" t="s">
        <v>120</v>
      </c>
      <c r="U30" s="10" t="s">
        <v>101</v>
      </c>
      <c r="V30" s="10" t="s">
        <v>121</v>
      </c>
      <c r="W30" s="10" t="s">
        <v>122</v>
      </c>
      <c r="X30" s="10" t="s">
        <v>123</v>
      </c>
      <c r="Y30" s="29">
        <v>1</v>
      </c>
      <c r="Z30" s="138" t="s">
        <v>561</v>
      </c>
      <c r="AA30" s="138">
        <v>38071</v>
      </c>
      <c r="AB30" s="9" t="s">
        <v>114</v>
      </c>
      <c r="AC30" s="9" t="s">
        <v>124</v>
      </c>
      <c r="AD30" s="15">
        <v>44651</v>
      </c>
      <c r="AE30" s="39" t="s">
        <v>125</v>
      </c>
      <c r="AF30" s="177">
        <v>6</v>
      </c>
      <c r="AG30" s="140">
        <v>0</v>
      </c>
      <c r="AH30" s="9">
        <v>0</v>
      </c>
      <c r="AI30" s="10" t="s">
        <v>126</v>
      </c>
      <c r="AJ30" s="10"/>
      <c r="AK30" s="29"/>
      <c r="AL30" s="12">
        <v>1</v>
      </c>
      <c r="AM30" s="10"/>
      <c r="AN30" s="12">
        <f>FAR[[#This Row],[Opening RUL]]+FAR[[#This Row],[RUL Adjustment]]</f>
        <v>1</v>
      </c>
      <c r="AO30" s="12">
        <f>FAR[[#This Row],[Opening RUL 30 June 2026]]-1</f>
        <v>0</v>
      </c>
      <c r="AP30" s="12">
        <v>0</v>
      </c>
      <c r="AQ30" s="139"/>
      <c r="AR30" s="10" t="s">
        <v>127</v>
      </c>
      <c r="AS30" s="13">
        <v>12920.76</v>
      </c>
      <c r="AT30" s="13"/>
      <c r="AU30" s="13">
        <v>0</v>
      </c>
      <c r="AV30" s="13">
        <v>0</v>
      </c>
      <c r="AW30" s="13">
        <v>0</v>
      </c>
      <c r="AX30" s="13">
        <v>12920.76</v>
      </c>
      <c r="AY30" s="13">
        <v>717.82000000000153</v>
      </c>
      <c r="AZ30" s="13">
        <v>0</v>
      </c>
      <c r="BA30" s="13"/>
      <c r="BB30" s="13"/>
      <c r="BC30" s="13">
        <v>-12202.939999999999</v>
      </c>
      <c r="BD30" s="13"/>
      <c r="BE30" s="13" t="s">
        <v>114</v>
      </c>
      <c r="BF30" s="29"/>
      <c r="BG30" s="13"/>
      <c r="BH30" s="13">
        <f>-FAR[[#This Row],[Carrying value (opening balance)]]/FAR[[#This Row],[Opening RUL 30 June 2026]]</f>
        <v>-717.82000000000153</v>
      </c>
      <c r="BI30" s="13">
        <f>FAR[[#This Row],[Depreciation YTD]]/12</f>
        <v>-59.818333333333463</v>
      </c>
      <c r="BJ30" s="13"/>
      <c r="BK30" s="13" t="s">
        <v>116</v>
      </c>
      <c r="BL30" s="13">
        <v>0</v>
      </c>
      <c r="BM30" s="13">
        <f>FAR[[#This Row],[Accumulated depreciation (Opening balance)]]+FAR[[#This Row],[Depreciation YTD]]+FAR[[#This Row],[Derecognitions (acc dep) '[+']]]</f>
        <v>-12920.76</v>
      </c>
      <c r="BN30" s="13"/>
      <c r="BO30" s="13"/>
      <c r="BP30" s="13"/>
      <c r="BQ30" s="13"/>
      <c r="BR3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0" s="13">
        <f>FAR[[#This Row],[Cost Price (closing balance)]]+FAR[[#This Row],[Accumulated depreciation (Closing balance)]]+FAR[[#This Row],[Accumulated impairments (Closing balance)]]</f>
        <v>0</v>
      </c>
      <c r="BT30" s="13"/>
      <c r="BU30" s="13"/>
      <c r="BV30" s="13"/>
      <c r="BW30" s="10" t="s">
        <v>167</v>
      </c>
      <c r="BX30" s="9" t="s">
        <v>168</v>
      </c>
      <c r="BY30" s="10"/>
      <c r="BZ30">
        <v>0</v>
      </c>
      <c r="CA30"/>
      <c r="CB30" s="34"/>
      <c r="CC30" s="34"/>
      <c r="CD30" s="34"/>
      <c r="CE30" s="141"/>
    </row>
    <row r="31" spans="1:83">
      <c r="A31" s="35" t="s">
        <v>202</v>
      </c>
      <c r="B31" s="9" t="s">
        <v>866</v>
      </c>
      <c r="C31" s="9" t="s">
        <v>54</v>
      </c>
      <c r="D31" s="10" t="s">
        <v>1</v>
      </c>
      <c r="E31" s="9" t="s">
        <v>115</v>
      </c>
      <c r="F31" s="36" t="s">
        <v>99</v>
      </c>
      <c r="G31" s="9" t="s">
        <v>100</v>
      </c>
      <c r="H31" s="3" t="s">
        <v>128</v>
      </c>
      <c r="I31" s="9" t="s">
        <v>100</v>
      </c>
      <c r="J31" s="36" t="s">
        <v>101</v>
      </c>
      <c r="K31" s="10" t="s">
        <v>559</v>
      </c>
      <c r="L31" s="10" t="s">
        <v>559</v>
      </c>
      <c r="M31" s="9" t="s">
        <v>100</v>
      </c>
      <c r="N31" s="10" t="s">
        <v>445</v>
      </c>
      <c r="O31" s="9" t="s">
        <v>100</v>
      </c>
      <c r="P31" s="10"/>
      <c r="Q31" s="10" t="s">
        <v>445</v>
      </c>
      <c r="R31" s="10" t="s">
        <v>119</v>
      </c>
      <c r="S31" s="10" t="s">
        <v>130</v>
      </c>
      <c r="T31" s="10" t="s">
        <v>120</v>
      </c>
      <c r="U31" s="10" t="s">
        <v>101</v>
      </c>
      <c r="V31" s="10" t="s">
        <v>121</v>
      </c>
      <c r="W31" s="10" t="s">
        <v>122</v>
      </c>
      <c r="X31" s="10" t="s">
        <v>123</v>
      </c>
      <c r="Y31" s="29">
        <v>1</v>
      </c>
      <c r="Z31" s="138" t="s">
        <v>561</v>
      </c>
      <c r="AA31" s="138">
        <v>38071</v>
      </c>
      <c r="AB31" s="9" t="s">
        <v>114</v>
      </c>
      <c r="AC31" s="9" t="s">
        <v>124</v>
      </c>
      <c r="AD31" s="15">
        <v>44651</v>
      </c>
      <c r="AE31" s="39" t="s">
        <v>125</v>
      </c>
      <c r="AF31" s="177">
        <v>6</v>
      </c>
      <c r="AG31" s="140">
        <v>0</v>
      </c>
      <c r="AH31" s="9">
        <v>0</v>
      </c>
      <c r="AI31" s="10" t="s">
        <v>126</v>
      </c>
      <c r="AJ31" s="10"/>
      <c r="AK31" s="29"/>
      <c r="AL31" s="12">
        <v>1</v>
      </c>
      <c r="AM31" s="10"/>
      <c r="AN31" s="12">
        <f>FAR[[#This Row],[Opening RUL]]+FAR[[#This Row],[RUL Adjustment]]</f>
        <v>1</v>
      </c>
      <c r="AO31" s="12">
        <f>FAR[[#This Row],[Opening RUL 30 June 2026]]-1</f>
        <v>0</v>
      </c>
      <c r="AP31" s="12" t="s">
        <v>1050</v>
      </c>
      <c r="AQ31" s="139"/>
      <c r="AR31" s="10" t="s">
        <v>127</v>
      </c>
      <c r="AS31" s="13">
        <v>13393.86</v>
      </c>
      <c r="AT31" s="13"/>
      <c r="AU31" s="13">
        <v>0</v>
      </c>
      <c r="AV31" s="13">
        <v>0</v>
      </c>
      <c r="AW31" s="13">
        <v>0</v>
      </c>
      <c r="AX31" s="13">
        <v>13393.86</v>
      </c>
      <c r="AY31" s="13">
        <v>744.10333333333256</v>
      </c>
      <c r="AZ31" s="13">
        <v>0</v>
      </c>
      <c r="BA31" s="13"/>
      <c r="BB31" s="13"/>
      <c r="BC31" s="13">
        <v>-12649.756666666668</v>
      </c>
      <c r="BD31" s="13"/>
      <c r="BE31" s="13" t="s">
        <v>114</v>
      </c>
      <c r="BF31" s="29"/>
      <c r="BG31" s="13"/>
      <c r="BH31" s="13">
        <f>-FAR[[#This Row],[Carrying value (opening balance)]]/FAR[[#This Row],[Opening RUL 30 June 2026]]</f>
        <v>-744.10333333333256</v>
      </c>
      <c r="BI31" s="13">
        <f>FAR[[#This Row],[Depreciation YTD]]/12</f>
        <v>-62.008611111111044</v>
      </c>
      <c r="BJ31" s="13"/>
      <c r="BK31" s="13" t="s">
        <v>116</v>
      </c>
      <c r="BL31" s="13">
        <v>0</v>
      </c>
      <c r="BM31" s="13">
        <f>FAR[[#This Row],[Accumulated depreciation (Opening balance)]]+FAR[[#This Row],[Depreciation YTD]]+FAR[[#This Row],[Derecognitions (acc dep) '[+']]]</f>
        <v>-13393.86</v>
      </c>
      <c r="BN31" s="13"/>
      <c r="BO31" s="13"/>
      <c r="BP31" s="13"/>
      <c r="BQ31" s="13"/>
      <c r="BR3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1" s="13">
        <f>FAR[[#This Row],[Cost Price (closing balance)]]+FAR[[#This Row],[Accumulated depreciation (Closing balance)]]+FAR[[#This Row],[Accumulated impairments (Closing balance)]]</f>
        <v>0</v>
      </c>
      <c r="BT31" s="13"/>
      <c r="BU31" s="13"/>
      <c r="BV31" s="13"/>
      <c r="BW31" s="10" t="s">
        <v>167</v>
      </c>
      <c r="BX31" s="9" t="s">
        <v>168</v>
      </c>
      <c r="BY31" s="10"/>
      <c r="BZ31" t="s">
        <v>950</v>
      </c>
      <c r="CA31"/>
      <c r="CB31" s="34"/>
      <c r="CC31" s="34"/>
      <c r="CD31" s="34"/>
      <c r="CE31" s="141"/>
    </row>
    <row r="32" spans="1:83">
      <c r="A32" s="35" t="s">
        <v>203</v>
      </c>
      <c r="B32" s="9" t="s">
        <v>867</v>
      </c>
      <c r="C32" s="9" t="s">
        <v>54</v>
      </c>
      <c r="D32" s="10" t="s">
        <v>1</v>
      </c>
      <c r="E32" s="9" t="s">
        <v>115</v>
      </c>
      <c r="F32" s="36" t="s">
        <v>99</v>
      </c>
      <c r="G32" s="9" t="s">
        <v>100</v>
      </c>
      <c r="H32" s="3" t="s">
        <v>128</v>
      </c>
      <c r="I32" s="9" t="s">
        <v>100</v>
      </c>
      <c r="J32" s="36" t="s">
        <v>101</v>
      </c>
      <c r="K32" s="10" t="s">
        <v>559</v>
      </c>
      <c r="L32" s="10" t="s">
        <v>559</v>
      </c>
      <c r="M32" s="9" t="s">
        <v>100</v>
      </c>
      <c r="N32" s="10" t="s">
        <v>446</v>
      </c>
      <c r="O32" s="9" t="s">
        <v>100</v>
      </c>
      <c r="P32" s="10"/>
      <c r="Q32" s="10" t="s">
        <v>446</v>
      </c>
      <c r="R32" s="10" t="s">
        <v>119</v>
      </c>
      <c r="S32" s="10" t="s">
        <v>130</v>
      </c>
      <c r="T32" s="10" t="s">
        <v>120</v>
      </c>
      <c r="U32" s="10" t="s">
        <v>101</v>
      </c>
      <c r="V32" s="10" t="s">
        <v>121</v>
      </c>
      <c r="W32" s="10" t="s">
        <v>122</v>
      </c>
      <c r="X32" s="10" t="s">
        <v>123</v>
      </c>
      <c r="Y32" s="29">
        <v>1</v>
      </c>
      <c r="Z32" s="138" t="s">
        <v>561</v>
      </c>
      <c r="AA32" s="138">
        <v>38071</v>
      </c>
      <c r="AB32" s="9" t="s">
        <v>114</v>
      </c>
      <c r="AC32" s="9" t="s">
        <v>124</v>
      </c>
      <c r="AD32" s="15">
        <v>44651</v>
      </c>
      <c r="AE32" s="39" t="s">
        <v>125</v>
      </c>
      <c r="AF32" s="177">
        <v>6</v>
      </c>
      <c r="AG32" s="140">
        <v>0</v>
      </c>
      <c r="AH32" s="9">
        <v>0</v>
      </c>
      <c r="AI32" s="10" t="s">
        <v>126</v>
      </c>
      <c r="AJ32" s="10"/>
      <c r="AK32" s="29"/>
      <c r="AL32" s="12">
        <v>1</v>
      </c>
      <c r="AM32" s="10"/>
      <c r="AN32" s="12">
        <f>FAR[[#This Row],[Opening RUL]]+FAR[[#This Row],[RUL Adjustment]]</f>
        <v>1</v>
      </c>
      <c r="AO32" s="12">
        <f>FAR[[#This Row],[Opening RUL 30 June 2026]]-1</f>
        <v>0</v>
      </c>
      <c r="AP32" s="12" t="s">
        <v>1051</v>
      </c>
      <c r="AQ32" s="139"/>
      <c r="AR32" s="10" t="s">
        <v>127</v>
      </c>
      <c r="AS32" s="13">
        <v>6459.24</v>
      </c>
      <c r="AT32" s="13"/>
      <c r="AU32" s="13">
        <v>0</v>
      </c>
      <c r="AV32" s="13">
        <v>0</v>
      </c>
      <c r="AW32" s="13">
        <v>0</v>
      </c>
      <c r="AX32" s="13">
        <v>6459.24</v>
      </c>
      <c r="AY32" s="13">
        <v>358.84666666666635</v>
      </c>
      <c r="AZ32" s="13">
        <v>0</v>
      </c>
      <c r="BA32" s="13"/>
      <c r="BB32" s="13"/>
      <c r="BC32" s="13">
        <v>-6100.3933333333334</v>
      </c>
      <c r="BD32" s="13"/>
      <c r="BE32" s="13" t="s">
        <v>114</v>
      </c>
      <c r="BF32" s="29"/>
      <c r="BG32" s="13"/>
      <c r="BH32" s="13">
        <f>-FAR[[#This Row],[Carrying value (opening balance)]]/FAR[[#This Row],[Opening RUL 30 June 2026]]</f>
        <v>-358.84666666666635</v>
      </c>
      <c r="BI32" s="13">
        <f>FAR[[#This Row],[Depreciation YTD]]/12</f>
        <v>-29.903888888888861</v>
      </c>
      <c r="BJ32" s="13"/>
      <c r="BK32" s="13" t="s">
        <v>116</v>
      </c>
      <c r="BL32" s="13">
        <v>0</v>
      </c>
      <c r="BM32" s="13">
        <f>FAR[[#This Row],[Accumulated depreciation (Opening balance)]]+FAR[[#This Row],[Depreciation YTD]]+FAR[[#This Row],[Derecognitions (acc dep) '[+']]]</f>
        <v>-6459.24</v>
      </c>
      <c r="BN32" s="13"/>
      <c r="BO32" s="13"/>
      <c r="BP32" s="13"/>
      <c r="BQ32" s="13"/>
      <c r="BR3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2" s="13">
        <f>FAR[[#This Row],[Cost Price (closing balance)]]+FAR[[#This Row],[Accumulated depreciation (Closing balance)]]+FAR[[#This Row],[Accumulated impairments (Closing balance)]]</f>
        <v>0</v>
      </c>
      <c r="BT32" s="13"/>
      <c r="BU32" s="13"/>
      <c r="BV32" s="13"/>
      <c r="BW32" s="10" t="s">
        <v>167</v>
      </c>
      <c r="BX32" s="9" t="s">
        <v>168</v>
      </c>
      <c r="BY32" s="10"/>
      <c r="BZ32" t="s">
        <v>951</v>
      </c>
      <c r="CA32"/>
      <c r="CB32" s="34"/>
      <c r="CC32" s="34"/>
      <c r="CD32" s="34"/>
      <c r="CE32" s="141"/>
    </row>
    <row r="33" spans="1:83">
      <c r="A33" s="35" t="s">
        <v>204</v>
      </c>
      <c r="B33" s="9" t="s">
        <v>868</v>
      </c>
      <c r="C33" s="9" t="s">
        <v>54</v>
      </c>
      <c r="D33" s="10" t="s">
        <v>1</v>
      </c>
      <c r="E33" s="9" t="s">
        <v>115</v>
      </c>
      <c r="F33" s="36" t="s">
        <v>99</v>
      </c>
      <c r="G33" s="9" t="s">
        <v>100</v>
      </c>
      <c r="H33" s="3" t="s">
        <v>128</v>
      </c>
      <c r="I33" s="9" t="s">
        <v>100</v>
      </c>
      <c r="J33" s="36" t="s">
        <v>101</v>
      </c>
      <c r="K33" s="10" t="s">
        <v>559</v>
      </c>
      <c r="L33" s="10" t="s">
        <v>559</v>
      </c>
      <c r="M33" s="9" t="s">
        <v>100</v>
      </c>
      <c r="N33" s="10" t="s">
        <v>439</v>
      </c>
      <c r="O33" s="9" t="s">
        <v>100</v>
      </c>
      <c r="P33" s="10"/>
      <c r="Q33" s="10" t="s">
        <v>439</v>
      </c>
      <c r="R33" s="10" t="s">
        <v>119</v>
      </c>
      <c r="S33" s="10" t="s">
        <v>130</v>
      </c>
      <c r="T33" s="10" t="s">
        <v>120</v>
      </c>
      <c r="U33" s="10" t="s">
        <v>101</v>
      </c>
      <c r="V33" s="10" t="s">
        <v>121</v>
      </c>
      <c r="W33" s="10" t="s">
        <v>122</v>
      </c>
      <c r="X33" s="10" t="s">
        <v>123</v>
      </c>
      <c r="Y33" s="29">
        <v>1</v>
      </c>
      <c r="Z33" s="138" t="s">
        <v>561</v>
      </c>
      <c r="AA33" s="138">
        <v>38071</v>
      </c>
      <c r="AB33" s="9" t="s">
        <v>114</v>
      </c>
      <c r="AC33" s="9" t="s">
        <v>124</v>
      </c>
      <c r="AD33" s="15">
        <v>44651</v>
      </c>
      <c r="AE33" s="39" t="s">
        <v>125</v>
      </c>
      <c r="AF33" s="177">
        <v>6</v>
      </c>
      <c r="AG33" s="140">
        <v>0</v>
      </c>
      <c r="AH33" s="9">
        <v>0</v>
      </c>
      <c r="AI33" s="10" t="s">
        <v>126</v>
      </c>
      <c r="AJ33" s="10"/>
      <c r="AK33" s="29"/>
      <c r="AL33" s="12">
        <v>1</v>
      </c>
      <c r="AM33" s="10"/>
      <c r="AN33" s="12">
        <f>FAR[[#This Row],[Opening RUL]]+FAR[[#This Row],[RUL Adjustment]]</f>
        <v>1</v>
      </c>
      <c r="AO33" s="12">
        <f>FAR[[#This Row],[Opening RUL 30 June 2026]]-1</f>
        <v>0</v>
      </c>
      <c r="AP33" s="12" t="s">
        <v>1050</v>
      </c>
      <c r="AQ33" s="139"/>
      <c r="AR33" s="10" t="s">
        <v>127</v>
      </c>
      <c r="AS33" s="13">
        <v>6459.24</v>
      </c>
      <c r="AT33" s="13"/>
      <c r="AU33" s="13">
        <v>0</v>
      </c>
      <c r="AV33" s="13">
        <v>0</v>
      </c>
      <c r="AW33" s="13">
        <v>0</v>
      </c>
      <c r="AX33" s="13">
        <v>6459.24</v>
      </c>
      <c r="AY33" s="13">
        <v>358.84666666666635</v>
      </c>
      <c r="AZ33" s="13">
        <v>0</v>
      </c>
      <c r="BA33" s="13"/>
      <c r="BB33" s="13"/>
      <c r="BC33" s="13">
        <v>-6100.3933333333334</v>
      </c>
      <c r="BD33" s="13"/>
      <c r="BE33" s="13" t="s">
        <v>114</v>
      </c>
      <c r="BF33" s="29"/>
      <c r="BG33" s="13"/>
      <c r="BH33" s="13">
        <f>-FAR[[#This Row],[Carrying value (opening balance)]]/FAR[[#This Row],[Opening RUL 30 June 2026]]</f>
        <v>-358.84666666666635</v>
      </c>
      <c r="BI33" s="13">
        <f>FAR[[#This Row],[Depreciation YTD]]/12</f>
        <v>-29.903888888888861</v>
      </c>
      <c r="BJ33" s="13"/>
      <c r="BK33" s="13" t="s">
        <v>116</v>
      </c>
      <c r="BL33" s="13">
        <v>0</v>
      </c>
      <c r="BM33" s="13">
        <f>FAR[[#This Row],[Accumulated depreciation (Opening balance)]]+FAR[[#This Row],[Depreciation YTD]]+FAR[[#This Row],[Derecognitions (acc dep) '[+']]]</f>
        <v>-6459.24</v>
      </c>
      <c r="BN33" s="13"/>
      <c r="BO33" s="13"/>
      <c r="BP33" s="13"/>
      <c r="BQ33" s="13"/>
      <c r="BR3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3" s="13">
        <f>FAR[[#This Row],[Cost Price (closing balance)]]+FAR[[#This Row],[Accumulated depreciation (Closing balance)]]+FAR[[#This Row],[Accumulated impairments (Closing balance)]]</f>
        <v>0</v>
      </c>
      <c r="BT33" s="13"/>
      <c r="BU33" s="13"/>
      <c r="BV33" s="13"/>
      <c r="BW33" s="10" t="s">
        <v>167</v>
      </c>
      <c r="BX33" s="9" t="s">
        <v>168</v>
      </c>
      <c r="BY33" s="10"/>
      <c r="BZ33" t="s">
        <v>938</v>
      </c>
      <c r="CA33"/>
      <c r="CB33" s="34"/>
      <c r="CC33" s="34"/>
      <c r="CD33" s="34"/>
      <c r="CE33" s="141"/>
    </row>
    <row r="34" spans="1:83">
      <c r="A34" s="35" t="s">
        <v>205</v>
      </c>
      <c r="B34" s="9" t="s">
        <v>865</v>
      </c>
      <c r="C34" s="9" t="s">
        <v>54</v>
      </c>
      <c r="D34" s="10" t="s">
        <v>1</v>
      </c>
      <c r="E34" s="9" t="s">
        <v>115</v>
      </c>
      <c r="F34" s="36" t="s">
        <v>99</v>
      </c>
      <c r="G34" s="9" t="s">
        <v>100</v>
      </c>
      <c r="H34" s="3" t="s">
        <v>128</v>
      </c>
      <c r="I34" s="9" t="s">
        <v>100</v>
      </c>
      <c r="J34" s="36" t="s">
        <v>101</v>
      </c>
      <c r="K34" s="10" t="s">
        <v>559</v>
      </c>
      <c r="L34" s="10" t="s">
        <v>559</v>
      </c>
      <c r="M34" s="9" t="s">
        <v>100</v>
      </c>
      <c r="N34" s="10" t="s">
        <v>447</v>
      </c>
      <c r="O34" s="9" t="s">
        <v>100</v>
      </c>
      <c r="P34" s="10"/>
      <c r="Q34" s="10" t="s">
        <v>447</v>
      </c>
      <c r="R34" s="10" t="s">
        <v>119</v>
      </c>
      <c r="S34" s="10" t="s">
        <v>130</v>
      </c>
      <c r="T34" s="10" t="s">
        <v>120</v>
      </c>
      <c r="U34" s="10" t="s">
        <v>101</v>
      </c>
      <c r="V34" s="10" t="s">
        <v>121</v>
      </c>
      <c r="W34" s="10" t="s">
        <v>122</v>
      </c>
      <c r="X34" s="10" t="s">
        <v>123</v>
      </c>
      <c r="Y34" s="29">
        <v>1</v>
      </c>
      <c r="Z34" s="138" t="s">
        <v>561</v>
      </c>
      <c r="AA34" s="138">
        <v>38071</v>
      </c>
      <c r="AB34" s="9" t="s">
        <v>114</v>
      </c>
      <c r="AC34" s="9" t="s">
        <v>124</v>
      </c>
      <c r="AD34" s="15">
        <v>44651</v>
      </c>
      <c r="AE34" s="39" t="s">
        <v>125</v>
      </c>
      <c r="AF34" s="177">
        <v>6</v>
      </c>
      <c r="AG34" s="140">
        <v>0</v>
      </c>
      <c r="AH34" s="9">
        <v>0</v>
      </c>
      <c r="AI34" s="10" t="s">
        <v>126</v>
      </c>
      <c r="AJ34" s="10"/>
      <c r="AK34" s="29"/>
      <c r="AL34" s="12">
        <v>1</v>
      </c>
      <c r="AM34" s="10"/>
      <c r="AN34" s="12">
        <f>FAR[[#This Row],[Opening RUL]]+FAR[[#This Row],[RUL Adjustment]]</f>
        <v>1</v>
      </c>
      <c r="AO34" s="12">
        <f>FAR[[#This Row],[Opening RUL 30 June 2026]]-1</f>
        <v>0</v>
      </c>
      <c r="AP34" s="12" t="s">
        <v>1050</v>
      </c>
      <c r="AQ34" s="139"/>
      <c r="AR34" s="10" t="s">
        <v>127</v>
      </c>
      <c r="AS34" s="13">
        <v>3034.68</v>
      </c>
      <c r="AT34" s="13"/>
      <c r="AU34" s="13">
        <v>0</v>
      </c>
      <c r="AV34" s="13">
        <v>0</v>
      </c>
      <c r="AW34" s="13">
        <v>0</v>
      </c>
      <c r="AX34" s="13">
        <v>3034.68</v>
      </c>
      <c r="AY34" s="13">
        <v>168.5933333333337</v>
      </c>
      <c r="AZ34" s="13">
        <v>0</v>
      </c>
      <c r="BA34" s="13"/>
      <c r="BB34" s="13"/>
      <c r="BC34" s="13">
        <v>-2866.0866666666661</v>
      </c>
      <c r="BD34" s="13"/>
      <c r="BE34" s="13" t="s">
        <v>114</v>
      </c>
      <c r="BF34" s="29"/>
      <c r="BG34" s="13"/>
      <c r="BH34" s="13">
        <f>-FAR[[#This Row],[Carrying value (opening balance)]]/FAR[[#This Row],[Opening RUL 30 June 2026]]</f>
        <v>-168.5933333333337</v>
      </c>
      <c r="BI34" s="13">
        <f>FAR[[#This Row],[Depreciation YTD]]/12</f>
        <v>-14.049444444444475</v>
      </c>
      <c r="BJ34" s="13"/>
      <c r="BK34" s="13" t="s">
        <v>116</v>
      </c>
      <c r="BL34" s="13">
        <v>0</v>
      </c>
      <c r="BM34" s="13">
        <f>FAR[[#This Row],[Accumulated depreciation (Opening balance)]]+FAR[[#This Row],[Depreciation YTD]]+FAR[[#This Row],[Derecognitions (acc dep) '[+']]]</f>
        <v>-3034.68</v>
      </c>
      <c r="BN34" s="13"/>
      <c r="BO34" s="13"/>
      <c r="BP34" s="13"/>
      <c r="BQ34" s="13"/>
      <c r="BR3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4" s="13">
        <f>FAR[[#This Row],[Cost Price (closing balance)]]+FAR[[#This Row],[Accumulated depreciation (Closing balance)]]+FAR[[#This Row],[Accumulated impairments (Closing balance)]]</f>
        <v>0</v>
      </c>
      <c r="BT34" s="13"/>
      <c r="BU34" s="13"/>
      <c r="BV34" s="13"/>
      <c r="BW34" s="10" t="s">
        <v>167</v>
      </c>
      <c r="BX34" s="9" t="s">
        <v>168</v>
      </c>
      <c r="BY34" s="10"/>
      <c r="BZ34" t="s">
        <v>938</v>
      </c>
      <c r="CA34"/>
      <c r="CB34" s="34"/>
      <c r="CC34" s="34"/>
      <c r="CD34" s="34"/>
      <c r="CE34" s="141"/>
    </row>
    <row r="35" spans="1:83">
      <c r="A35" s="35" t="s">
        <v>206</v>
      </c>
      <c r="B35" s="9" t="s">
        <v>869</v>
      </c>
      <c r="C35" s="9" t="s">
        <v>54</v>
      </c>
      <c r="D35" s="10" t="s">
        <v>1</v>
      </c>
      <c r="E35" s="9" t="s">
        <v>115</v>
      </c>
      <c r="F35" s="36" t="s">
        <v>99</v>
      </c>
      <c r="G35" s="9" t="s">
        <v>100</v>
      </c>
      <c r="H35" s="3" t="s">
        <v>128</v>
      </c>
      <c r="I35" s="9" t="s">
        <v>100</v>
      </c>
      <c r="J35" s="36" t="s">
        <v>101</v>
      </c>
      <c r="K35" s="10" t="s">
        <v>559</v>
      </c>
      <c r="L35" s="10" t="s">
        <v>559</v>
      </c>
      <c r="M35" s="9" t="s">
        <v>100</v>
      </c>
      <c r="N35" s="10" t="s">
        <v>448</v>
      </c>
      <c r="O35" s="9" t="s">
        <v>100</v>
      </c>
      <c r="P35" s="10"/>
      <c r="Q35" s="10" t="s">
        <v>448</v>
      </c>
      <c r="R35" s="10" t="s">
        <v>119</v>
      </c>
      <c r="S35" s="10" t="s">
        <v>130</v>
      </c>
      <c r="T35" s="10" t="s">
        <v>120</v>
      </c>
      <c r="U35" s="10" t="s">
        <v>101</v>
      </c>
      <c r="V35" s="10" t="s">
        <v>121</v>
      </c>
      <c r="W35" s="10" t="s">
        <v>122</v>
      </c>
      <c r="X35" s="10" t="s">
        <v>123</v>
      </c>
      <c r="Y35" s="29">
        <v>1</v>
      </c>
      <c r="Z35" s="138" t="s">
        <v>562</v>
      </c>
      <c r="AA35" s="138">
        <v>38607</v>
      </c>
      <c r="AB35" s="9" t="s">
        <v>114</v>
      </c>
      <c r="AC35" s="9" t="s">
        <v>124</v>
      </c>
      <c r="AD35" s="15">
        <v>44651</v>
      </c>
      <c r="AE35" s="39" t="s">
        <v>125</v>
      </c>
      <c r="AF35" s="177">
        <v>6</v>
      </c>
      <c r="AG35" s="140">
        <v>0</v>
      </c>
      <c r="AH35" s="9">
        <v>0</v>
      </c>
      <c r="AI35" s="10" t="s">
        <v>126</v>
      </c>
      <c r="AJ35" s="10"/>
      <c r="AK35" s="29"/>
      <c r="AL35" s="12">
        <v>1</v>
      </c>
      <c r="AM35" s="10"/>
      <c r="AN35" s="12">
        <f>FAR[[#This Row],[Opening RUL]]+FAR[[#This Row],[RUL Adjustment]]</f>
        <v>1</v>
      </c>
      <c r="AO35" s="12">
        <f>FAR[[#This Row],[Opening RUL 30 June 2026]]-1</f>
        <v>0</v>
      </c>
      <c r="AP35" s="12" t="s">
        <v>1050</v>
      </c>
      <c r="AQ35" s="139"/>
      <c r="AR35" s="10" t="s">
        <v>127</v>
      </c>
      <c r="AS35" s="13">
        <v>3192</v>
      </c>
      <c r="AT35" s="13"/>
      <c r="AU35" s="13">
        <v>0</v>
      </c>
      <c r="AV35" s="13">
        <v>0</v>
      </c>
      <c r="AW35" s="13">
        <v>0</v>
      </c>
      <c r="AX35" s="13">
        <v>3192</v>
      </c>
      <c r="AY35" s="13">
        <v>177.33333333333303</v>
      </c>
      <c r="AZ35" s="13">
        <v>0</v>
      </c>
      <c r="BA35" s="13"/>
      <c r="BB35" s="13"/>
      <c r="BC35" s="13">
        <v>-3014.666666666667</v>
      </c>
      <c r="BD35" s="13"/>
      <c r="BE35" s="13" t="s">
        <v>114</v>
      </c>
      <c r="BF35" s="29"/>
      <c r="BG35" s="13"/>
      <c r="BH35" s="13">
        <f>-FAR[[#This Row],[Carrying value (opening balance)]]/FAR[[#This Row],[Opening RUL 30 June 2026]]</f>
        <v>-177.33333333333303</v>
      </c>
      <c r="BI35" s="13">
        <f>FAR[[#This Row],[Depreciation YTD]]/12</f>
        <v>-14.777777777777752</v>
      </c>
      <c r="BJ35" s="13"/>
      <c r="BK35" s="13" t="s">
        <v>116</v>
      </c>
      <c r="BL35" s="13">
        <v>0</v>
      </c>
      <c r="BM35" s="13">
        <f>FAR[[#This Row],[Accumulated depreciation (Opening balance)]]+FAR[[#This Row],[Depreciation YTD]]+FAR[[#This Row],[Derecognitions (acc dep) '[+']]]</f>
        <v>-3192</v>
      </c>
      <c r="BN35" s="13"/>
      <c r="BO35" s="13"/>
      <c r="BP35" s="13"/>
      <c r="BQ35" s="13"/>
      <c r="BR3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5" s="13">
        <f>FAR[[#This Row],[Cost Price (closing balance)]]+FAR[[#This Row],[Accumulated depreciation (Closing balance)]]+FAR[[#This Row],[Accumulated impairments (Closing balance)]]</f>
        <v>0</v>
      </c>
      <c r="BT35" s="13"/>
      <c r="BU35" s="13"/>
      <c r="BV35" s="13"/>
      <c r="BW35" s="10" t="s">
        <v>167</v>
      </c>
      <c r="BX35" s="9" t="s">
        <v>168</v>
      </c>
      <c r="BY35" s="10"/>
      <c r="BZ35" t="s">
        <v>952</v>
      </c>
      <c r="CA35"/>
      <c r="CB35" s="34"/>
      <c r="CC35" s="34"/>
      <c r="CD35" s="34"/>
      <c r="CE35" s="141"/>
    </row>
    <row r="36" spans="1:83">
      <c r="A36" s="35" t="s">
        <v>207</v>
      </c>
      <c r="B36" s="9" t="s">
        <v>861</v>
      </c>
      <c r="C36" s="9" t="s">
        <v>54</v>
      </c>
      <c r="D36" s="10" t="s">
        <v>1</v>
      </c>
      <c r="E36" s="9" t="s">
        <v>115</v>
      </c>
      <c r="F36" s="36" t="s">
        <v>99</v>
      </c>
      <c r="G36" s="9" t="s">
        <v>100</v>
      </c>
      <c r="H36" s="3" t="s">
        <v>128</v>
      </c>
      <c r="I36" s="9" t="s">
        <v>100</v>
      </c>
      <c r="J36" s="36" t="s">
        <v>101</v>
      </c>
      <c r="K36" s="10" t="s">
        <v>559</v>
      </c>
      <c r="L36" s="10" t="s">
        <v>559</v>
      </c>
      <c r="M36" s="9" t="s">
        <v>100</v>
      </c>
      <c r="N36" s="10" t="s">
        <v>449</v>
      </c>
      <c r="O36" s="9" t="s">
        <v>100</v>
      </c>
      <c r="P36" s="10"/>
      <c r="Q36" s="10" t="s">
        <v>449</v>
      </c>
      <c r="R36" s="10" t="s">
        <v>119</v>
      </c>
      <c r="S36" s="10" t="s">
        <v>130</v>
      </c>
      <c r="T36" s="10" t="s">
        <v>120</v>
      </c>
      <c r="U36" s="10" t="s">
        <v>101</v>
      </c>
      <c r="V36" s="10" t="s">
        <v>121</v>
      </c>
      <c r="W36" s="10" t="s">
        <v>122</v>
      </c>
      <c r="X36" s="10" t="s">
        <v>123</v>
      </c>
      <c r="Y36" s="29">
        <v>1</v>
      </c>
      <c r="Z36" s="138" t="s">
        <v>562</v>
      </c>
      <c r="AA36" s="138">
        <v>38607</v>
      </c>
      <c r="AB36" s="9" t="s">
        <v>114</v>
      </c>
      <c r="AC36" s="9" t="s">
        <v>124</v>
      </c>
      <c r="AD36" s="15">
        <v>44651</v>
      </c>
      <c r="AE36" s="39" t="s">
        <v>125</v>
      </c>
      <c r="AF36" s="177">
        <v>6</v>
      </c>
      <c r="AG36" s="140">
        <v>0</v>
      </c>
      <c r="AH36" s="9">
        <v>0</v>
      </c>
      <c r="AI36" s="10" t="s">
        <v>126</v>
      </c>
      <c r="AJ36" s="10"/>
      <c r="AK36" s="29"/>
      <c r="AL36" s="12">
        <v>1</v>
      </c>
      <c r="AM36" s="10"/>
      <c r="AN36" s="12">
        <f>FAR[[#This Row],[Opening RUL]]+FAR[[#This Row],[RUL Adjustment]]</f>
        <v>1</v>
      </c>
      <c r="AO36" s="12">
        <f>FAR[[#This Row],[Opening RUL 30 June 2026]]-1</f>
        <v>0</v>
      </c>
      <c r="AP36" s="12" t="s">
        <v>1050</v>
      </c>
      <c r="AQ36" s="139"/>
      <c r="AR36" s="10" t="s">
        <v>127</v>
      </c>
      <c r="AS36" s="13">
        <v>3192</v>
      </c>
      <c r="AT36" s="13"/>
      <c r="AU36" s="13">
        <v>0</v>
      </c>
      <c r="AV36" s="13">
        <v>0</v>
      </c>
      <c r="AW36" s="13">
        <v>0</v>
      </c>
      <c r="AX36" s="13">
        <v>3192</v>
      </c>
      <c r="AY36" s="13">
        <v>177.33333333333303</v>
      </c>
      <c r="AZ36" s="13">
        <v>0</v>
      </c>
      <c r="BA36" s="13"/>
      <c r="BB36" s="13"/>
      <c r="BC36" s="13">
        <v>-3014.666666666667</v>
      </c>
      <c r="BD36" s="13"/>
      <c r="BE36" s="13" t="s">
        <v>114</v>
      </c>
      <c r="BF36" s="29"/>
      <c r="BG36" s="13"/>
      <c r="BH36" s="13">
        <f>-FAR[[#This Row],[Carrying value (opening balance)]]/FAR[[#This Row],[Opening RUL 30 June 2026]]</f>
        <v>-177.33333333333303</v>
      </c>
      <c r="BI36" s="13">
        <f>FAR[[#This Row],[Depreciation YTD]]/12</f>
        <v>-14.777777777777752</v>
      </c>
      <c r="BJ36" s="13"/>
      <c r="BK36" s="13" t="s">
        <v>116</v>
      </c>
      <c r="BL36" s="13">
        <v>0</v>
      </c>
      <c r="BM36" s="13">
        <f>FAR[[#This Row],[Accumulated depreciation (Opening balance)]]+FAR[[#This Row],[Depreciation YTD]]+FAR[[#This Row],[Derecognitions (acc dep) '[+']]]</f>
        <v>-3192</v>
      </c>
      <c r="BN36" s="13"/>
      <c r="BO36" s="13"/>
      <c r="BP36" s="13"/>
      <c r="BQ36" s="13"/>
      <c r="BR3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6" s="13">
        <f>FAR[[#This Row],[Cost Price (closing balance)]]+FAR[[#This Row],[Accumulated depreciation (Closing balance)]]+FAR[[#This Row],[Accumulated impairments (Closing balance)]]</f>
        <v>0</v>
      </c>
      <c r="BT36" s="13"/>
      <c r="BU36" s="13"/>
      <c r="BV36" s="13"/>
      <c r="BW36" s="10" t="s">
        <v>167</v>
      </c>
      <c r="BX36" s="9" t="s">
        <v>168</v>
      </c>
      <c r="BY36" s="10"/>
      <c r="BZ36" t="s">
        <v>946</v>
      </c>
      <c r="CA36"/>
      <c r="CB36" s="34"/>
      <c r="CC36" s="34"/>
      <c r="CD36" s="34"/>
      <c r="CE36" s="141"/>
    </row>
    <row r="37" spans="1:83">
      <c r="A37" s="35" t="s">
        <v>208</v>
      </c>
      <c r="B37" s="9" t="s">
        <v>870</v>
      </c>
      <c r="C37" s="9" t="s">
        <v>54</v>
      </c>
      <c r="D37" s="10" t="s">
        <v>1</v>
      </c>
      <c r="E37" s="9" t="s">
        <v>115</v>
      </c>
      <c r="F37" s="36" t="s">
        <v>99</v>
      </c>
      <c r="G37" s="9" t="s">
        <v>100</v>
      </c>
      <c r="H37" s="3" t="s">
        <v>128</v>
      </c>
      <c r="I37" s="9" t="s">
        <v>100</v>
      </c>
      <c r="J37" s="36" t="s">
        <v>101</v>
      </c>
      <c r="K37" s="10" t="s">
        <v>559</v>
      </c>
      <c r="L37" s="10" t="s">
        <v>559</v>
      </c>
      <c r="M37" s="9" t="s">
        <v>100</v>
      </c>
      <c r="N37" s="10" t="s">
        <v>450</v>
      </c>
      <c r="O37" s="9" t="s">
        <v>100</v>
      </c>
      <c r="P37" s="10"/>
      <c r="Q37" s="10" t="s">
        <v>450</v>
      </c>
      <c r="R37" s="10" t="s">
        <v>119</v>
      </c>
      <c r="S37" s="10" t="s">
        <v>130</v>
      </c>
      <c r="T37" s="10" t="s">
        <v>120</v>
      </c>
      <c r="U37" s="10" t="s">
        <v>101</v>
      </c>
      <c r="V37" s="10" t="s">
        <v>121</v>
      </c>
      <c r="W37" s="10" t="s">
        <v>122</v>
      </c>
      <c r="X37" s="10" t="s">
        <v>123</v>
      </c>
      <c r="Y37" s="29">
        <v>1</v>
      </c>
      <c r="Z37" s="138" t="s">
        <v>562</v>
      </c>
      <c r="AA37" s="138">
        <v>38607</v>
      </c>
      <c r="AB37" s="9" t="s">
        <v>114</v>
      </c>
      <c r="AC37" s="9" t="s">
        <v>124</v>
      </c>
      <c r="AD37" s="15">
        <v>44651</v>
      </c>
      <c r="AE37" s="39" t="s">
        <v>125</v>
      </c>
      <c r="AF37" s="177">
        <v>6</v>
      </c>
      <c r="AG37" s="140">
        <v>0</v>
      </c>
      <c r="AH37" s="9">
        <v>0</v>
      </c>
      <c r="AI37" s="10" t="s">
        <v>126</v>
      </c>
      <c r="AJ37" s="10"/>
      <c r="AK37" s="29"/>
      <c r="AL37" s="12">
        <v>1</v>
      </c>
      <c r="AM37" s="10"/>
      <c r="AN37" s="12">
        <f>FAR[[#This Row],[Opening RUL]]+FAR[[#This Row],[RUL Adjustment]]</f>
        <v>1</v>
      </c>
      <c r="AO37" s="12">
        <f>FAR[[#This Row],[Opening RUL 30 June 2026]]-1</f>
        <v>0</v>
      </c>
      <c r="AP37" s="12" t="s">
        <v>1050</v>
      </c>
      <c r="AQ37" s="139"/>
      <c r="AR37" s="10" t="s">
        <v>127</v>
      </c>
      <c r="AS37" s="13">
        <v>3192</v>
      </c>
      <c r="AT37" s="13"/>
      <c r="AU37" s="13">
        <v>0</v>
      </c>
      <c r="AV37" s="13">
        <v>0</v>
      </c>
      <c r="AW37" s="13">
        <v>0</v>
      </c>
      <c r="AX37" s="13">
        <v>3192</v>
      </c>
      <c r="AY37" s="13">
        <v>177.33333333333303</v>
      </c>
      <c r="AZ37" s="13">
        <v>0</v>
      </c>
      <c r="BA37" s="13"/>
      <c r="BB37" s="13"/>
      <c r="BC37" s="13">
        <v>-3014.666666666667</v>
      </c>
      <c r="BD37" s="13"/>
      <c r="BE37" s="13" t="s">
        <v>114</v>
      </c>
      <c r="BF37" s="29"/>
      <c r="BG37" s="13"/>
      <c r="BH37" s="13">
        <f>-FAR[[#This Row],[Carrying value (opening balance)]]/FAR[[#This Row],[Opening RUL 30 June 2026]]</f>
        <v>-177.33333333333303</v>
      </c>
      <c r="BI37" s="13">
        <f>FAR[[#This Row],[Depreciation YTD]]/12</f>
        <v>-14.777777777777752</v>
      </c>
      <c r="BJ37" s="13"/>
      <c r="BK37" s="13" t="s">
        <v>116</v>
      </c>
      <c r="BL37" s="13">
        <v>0</v>
      </c>
      <c r="BM37" s="13">
        <f>FAR[[#This Row],[Accumulated depreciation (Opening balance)]]+FAR[[#This Row],[Depreciation YTD]]+FAR[[#This Row],[Derecognitions (acc dep) '[+']]]</f>
        <v>-3192</v>
      </c>
      <c r="BN37" s="13"/>
      <c r="BO37" s="13"/>
      <c r="BP37" s="13"/>
      <c r="BQ37" s="13"/>
      <c r="BR3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7" s="13">
        <f>FAR[[#This Row],[Cost Price (closing balance)]]+FAR[[#This Row],[Accumulated depreciation (Closing balance)]]+FAR[[#This Row],[Accumulated impairments (Closing balance)]]</f>
        <v>0</v>
      </c>
      <c r="BT37" s="13"/>
      <c r="BU37" s="13"/>
      <c r="BV37" s="13"/>
      <c r="BW37" s="10" t="s">
        <v>167</v>
      </c>
      <c r="BX37" s="9" t="s">
        <v>168</v>
      </c>
      <c r="BY37" s="10"/>
      <c r="BZ37" t="s">
        <v>953</v>
      </c>
      <c r="CA37"/>
      <c r="CB37" s="34"/>
      <c r="CC37" s="34"/>
      <c r="CD37" s="34"/>
      <c r="CE37" s="141"/>
    </row>
    <row r="38" spans="1:83">
      <c r="A38" s="35" t="s">
        <v>209</v>
      </c>
      <c r="B38" s="9" t="s">
        <v>851</v>
      </c>
      <c r="C38" s="9" t="s">
        <v>54</v>
      </c>
      <c r="D38" s="10" t="s">
        <v>1</v>
      </c>
      <c r="E38" s="9" t="s">
        <v>115</v>
      </c>
      <c r="F38" s="36" t="s">
        <v>99</v>
      </c>
      <c r="G38" s="9" t="s">
        <v>100</v>
      </c>
      <c r="H38" s="3" t="s">
        <v>128</v>
      </c>
      <c r="I38" s="9" t="s">
        <v>100</v>
      </c>
      <c r="J38" s="36" t="s">
        <v>101</v>
      </c>
      <c r="K38" s="10" t="s">
        <v>559</v>
      </c>
      <c r="L38" s="10" t="s">
        <v>559</v>
      </c>
      <c r="M38" s="9" t="s">
        <v>100</v>
      </c>
      <c r="N38" s="10" t="s">
        <v>448</v>
      </c>
      <c r="O38" s="9" t="s">
        <v>100</v>
      </c>
      <c r="P38" s="10"/>
      <c r="Q38" s="10" t="s">
        <v>448</v>
      </c>
      <c r="R38" s="10" t="s">
        <v>119</v>
      </c>
      <c r="S38" s="10" t="s">
        <v>130</v>
      </c>
      <c r="T38" s="10" t="s">
        <v>120</v>
      </c>
      <c r="U38" s="10" t="s">
        <v>101</v>
      </c>
      <c r="V38" s="10" t="s">
        <v>121</v>
      </c>
      <c r="W38" s="10" t="s">
        <v>122</v>
      </c>
      <c r="X38" s="10" t="s">
        <v>123</v>
      </c>
      <c r="Y38" s="29">
        <v>1</v>
      </c>
      <c r="Z38" s="138" t="s">
        <v>562</v>
      </c>
      <c r="AA38" s="138">
        <v>38607</v>
      </c>
      <c r="AB38" s="9" t="s">
        <v>114</v>
      </c>
      <c r="AC38" s="9" t="s">
        <v>124</v>
      </c>
      <c r="AD38" s="15">
        <v>44651</v>
      </c>
      <c r="AE38" s="39" t="s">
        <v>125</v>
      </c>
      <c r="AF38" s="177">
        <v>6</v>
      </c>
      <c r="AG38" s="140">
        <v>0</v>
      </c>
      <c r="AH38" s="9">
        <v>0</v>
      </c>
      <c r="AI38" s="10" t="s">
        <v>126</v>
      </c>
      <c r="AJ38" s="10"/>
      <c r="AK38" s="29"/>
      <c r="AL38" s="12">
        <v>1</v>
      </c>
      <c r="AM38" s="10"/>
      <c r="AN38" s="12">
        <f>FAR[[#This Row],[Opening RUL]]+FAR[[#This Row],[RUL Adjustment]]</f>
        <v>1</v>
      </c>
      <c r="AO38" s="12">
        <f>FAR[[#This Row],[Opening RUL 30 June 2026]]-1</f>
        <v>0</v>
      </c>
      <c r="AP38" s="12" t="s">
        <v>1050</v>
      </c>
      <c r="AQ38" s="139"/>
      <c r="AR38" s="10" t="s">
        <v>127</v>
      </c>
      <c r="AS38" s="13">
        <v>3192</v>
      </c>
      <c r="AT38" s="13"/>
      <c r="AU38" s="13">
        <v>0</v>
      </c>
      <c r="AV38" s="13">
        <v>0</v>
      </c>
      <c r="AW38" s="13">
        <v>0</v>
      </c>
      <c r="AX38" s="13">
        <v>3192</v>
      </c>
      <c r="AY38" s="13">
        <v>177.33333333333303</v>
      </c>
      <c r="AZ38" s="13">
        <v>0</v>
      </c>
      <c r="BA38" s="13"/>
      <c r="BB38" s="13"/>
      <c r="BC38" s="13">
        <v>-3014.666666666667</v>
      </c>
      <c r="BD38" s="13"/>
      <c r="BE38" s="13" t="s">
        <v>114</v>
      </c>
      <c r="BF38" s="29"/>
      <c r="BG38" s="13"/>
      <c r="BH38" s="13">
        <f>-FAR[[#This Row],[Carrying value (opening balance)]]/FAR[[#This Row],[Opening RUL 30 June 2026]]</f>
        <v>-177.33333333333303</v>
      </c>
      <c r="BI38" s="13">
        <f>FAR[[#This Row],[Depreciation YTD]]/12</f>
        <v>-14.777777777777752</v>
      </c>
      <c r="BJ38" s="13"/>
      <c r="BK38" s="13" t="s">
        <v>116</v>
      </c>
      <c r="BL38" s="13">
        <v>0</v>
      </c>
      <c r="BM38" s="13">
        <f>FAR[[#This Row],[Accumulated depreciation (Opening balance)]]+FAR[[#This Row],[Depreciation YTD]]+FAR[[#This Row],[Derecognitions (acc dep) '[+']]]</f>
        <v>-3192</v>
      </c>
      <c r="BN38" s="13"/>
      <c r="BO38" s="13"/>
      <c r="BP38" s="13"/>
      <c r="BQ38" s="13"/>
      <c r="BR3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8" s="13">
        <f>FAR[[#This Row],[Cost Price (closing balance)]]+FAR[[#This Row],[Accumulated depreciation (Closing balance)]]+FAR[[#This Row],[Accumulated impairments (Closing balance)]]</f>
        <v>0</v>
      </c>
      <c r="BT38" s="13"/>
      <c r="BU38" s="13"/>
      <c r="BV38" s="13"/>
      <c r="BW38" s="10" t="s">
        <v>167</v>
      </c>
      <c r="BX38" s="9" t="s">
        <v>168</v>
      </c>
      <c r="BY38" s="10"/>
      <c r="BZ38" t="s">
        <v>954</v>
      </c>
      <c r="CA38"/>
      <c r="CB38" s="34"/>
      <c r="CC38" s="34"/>
      <c r="CD38" s="34"/>
      <c r="CE38" s="141"/>
    </row>
    <row r="39" spans="1:83">
      <c r="A39" s="35" t="s">
        <v>210</v>
      </c>
      <c r="B39" s="9" t="s">
        <v>871</v>
      </c>
      <c r="C39" s="9" t="s">
        <v>54</v>
      </c>
      <c r="D39" s="10" t="s">
        <v>1</v>
      </c>
      <c r="E39" s="9" t="s">
        <v>115</v>
      </c>
      <c r="F39" s="36" t="s">
        <v>99</v>
      </c>
      <c r="G39" s="9" t="s">
        <v>100</v>
      </c>
      <c r="H39" s="3" t="s">
        <v>128</v>
      </c>
      <c r="I39" s="9" t="s">
        <v>100</v>
      </c>
      <c r="J39" s="36" t="s">
        <v>101</v>
      </c>
      <c r="K39" s="10" t="s">
        <v>559</v>
      </c>
      <c r="L39" s="10" t="s">
        <v>559</v>
      </c>
      <c r="M39" s="9" t="s">
        <v>100</v>
      </c>
      <c r="N39" s="10" t="s">
        <v>451</v>
      </c>
      <c r="O39" s="9" t="s">
        <v>100</v>
      </c>
      <c r="P39" s="10"/>
      <c r="Q39" s="10" t="s">
        <v>451</v>
      </c>
      <c r="R39" s="10" t="s">
        <v>119</v>
      </c>
      <c r="S39" s="10" t="s">
        <v>130</v>
      </c>
      <c r="T39" s="10" t="s">
        <v>120</v>
      </c>
      <c r="U39" s="10" t="s">
        <v>101</v>
      </c>
      <c r="V39" s="10" t="s">
        <v>121</v>
      </c>
      <c r="W39" s="10" t="s">
        <v>122</v>
      </c>
      <c r="X39" s="10" t="s">
        <v>123</v>
      </c>
      <c r="Y39" s="29">
        <v>1</v>
      </c>
      <c r="Z39" s="138" t="s">
        <v>562</v>
      </c>
      <c r="AA39" s="138">
        <v>38607</v>
      </c>
      <c r="AB39" s="9" t="s">
        <v>114</v>
      </c>
      <c r="AC39" s="9" t="s">
        <v>124</v>
      </c>
      <c r="AD39" s="15">
        <v>44651</v>
      </c>
      <c r="AE39" s="39" t="s">
        <v>125</v>
      </c>
      <c r="AF39" s="177">
        <v>6</v>
      </c>
      <c r="AG39" s="140">
        <v>0</v>
      </c>
      <c r="AH39" s="9">
        <v>0</v>
      </c>
      <c r="AI39" s="10" t="s">
        <v>126</v>
      </c>
      <c r="AJ39" s="10"/>
      <c r="AK39" s="29"/>
      <c r="AL39" s="12">
        <v>1</v>
      </c>
      <c r="AM39" s="10"/>
      <c r="AN39" s="12">
        <f>FAR[[#This Row],[Opening RUL]]+FAR[[#This Row],[RUL Adjustment]]</f>
        <v>1</v>
      </c>
      <c r="AO39" s="12">
        <f>FAR[[#This Row],[Opening RUL 30 June 2026]]-1</f>
        <v>0</v>
      </c>
      <c r="AP39" s="12" t="s">
        <v>1050</v>
      </c>
      <c r="AQ39" s="139"/>
      <c r="AR39" s="10" t="s">
        <v>127</v>
      </c>
      <c r="AS39" s="13">
        <v>3192</v>
      </c>
      <c r="AT39" s="13"/>
      <c r="AU39" s="13">
        <v>0</v>
      </c>
      <c r="AV39" s="13">
        <v>0</v>
      </c>
      <c r="AW39" s="13">
        <v>0</v>
      </c>
      <c r="AX39" s="13">
        <v>3192</v>
      </c>
      <c r="AY39" s="13">
        <v>177.33333333333303</v>
      </c>
      <c r="AZ39" s="13">
        <v>0</v>
      </c>
      <c r="BA39" s="13"/>
      <c r="BB39" s="13"/>
      <c r="BC39" s="13">
        <v>-3014.666666666667</v>
      </c>
      <c r="BD39" s="13"/>
      <c r="BE39" s="13" t="s">
        <v>114</v>
      </c>
      <c r="BF39" s="29"/>
      <c r="BG39" s="13"/>
      <c r="BH39" s="13">
        <f>-FAR[[#This Row],[Carrying value (opening balance)]]/FAR[[#This Row],[Opening RUL 30 June 2026]]</f>
        <v>-177.33333333333303</v>
      </c>
      <c r="BI39" s="13">
        <f>FAR[[#This Row],[Depreciation YTD]]/12</f>
        <v>-14.777777777777752</v>
      </c>
      <c r="BJ39" s="13"/>
      <c r="BK39" s="13" t="s">
        <v>116</v>
      </c>
      <c r="BL39" s="13">
        <v>0</v>
      </c>
      <c r="BM39" s="13">
        <f>FAR[[#This Row],[Accumulated depreciation (Opening balance)]]+FAR[[#This Row],[Depreciation YTD]]+FAR[[#This Row],[Derecognitions (acc dep) '[+']]]</f>
        <v>-3192</v>
      </c>
      <c r="BN39" s="13"/>
      <c r="BO39" s="13"/>
      <c r="BP39" s="13"/>
      <c r="BQ39" s="13"/>
      <c r="BR3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9" s="13">
        <f>FAR[[#This Row],[Cost Price (closing balance)]]+FAR[[#This Row],[Accumulated depreciation (Closing balance)]]+FAR[[#This Row],[Accumulated impairments (Closing balance)]]</f>
        <v>0</v>
      </c>
      <c r="BT39" s="13"/>
      <c r="BU39" s="13"/>
      <c r="BV39" s="13"/>
      <c r="BW39" s="10" t="s">
        <v>167</v>
      </c>
      <c r="BX39" s="9" t="s">
        <v>168</v>
      </c>
      <c r="BY39" s="10"/>
      <c r="BZ39" t="s">
        <v>955</v>
      </c>
      <c r="CA39"/>
      <c r="CB39" s="34"/>
      <c r="CC39" s="34"/>
      <c r="CD39" s="34"/>
      <c r="CE39" s="141"/>
    </row>
    <row r="40" spans="1:83">
      <c r="A40" s="35" t="s">
        <v>211</v>
      </c>
      <c r="B40" s="9" t="s">
        <v>859</v>
      </c>
      <c r="C40" s="9" t="s">
        <v>54</v>
      </c>
      <c r="D40" s="10" t="s">
        <v>1</v>
      </c>
      <c r="E40" s="9" t="s">
        <v>115</v>
      </c>
      <c r="F40" s="36" t="s">
        <v>99</v>
      </c>
      <c r="G40" s="9" t="s">
        <v>100</v>
      </c>
      <c r="H40" s="3" t="s">
        <v>128</v>
      </c>
      <c r="I40" s="9" t="s">
        <v>100</v>
      </c>
      <c r="J40" s="36" t="s">
        <v>101</v>
      </c>
      <c r="K40" s="10" t="s">
        <v>559</v>
      </c>
      <c r="L40" s="10" t="s">
        <v>559</v>
      </c>
      <c r="M40" s="9" t="s">
        <v>100</v>
      </c>
      <c r="N40" s="10" t="s">
        <v>452</v>
      </c>
      <c r="O40" s="9" t="s">
        <v>100</v>
      </c>
      <c r="P40" s="10"/>
      <c r="Q40" s="10" t="s">
        <v>452</v>
      </c>
      <c r="R40" s="10" t="s">
        <v>119</v>
      </c>
      <c r="S40" s="10" t="s">
        <v>130</v>
      </c>
      <c r="T40" s="10" t="s">
        <v>120</v>
      </c>
      <c r="U40" s="10" t="s">
        <v>101</v>
      </c>
      <c r="V40" s="10" t="s">
        <v>121</v>
      </c>
      <c r="W40" s="10" t="s">
        <v>122</v>
      </c>
      <c r="X40" s="10" t="s">
        <v>123</v>
      </c>
      <c r="Y40" s="29">
        <v>1</v>
      </c>
      <c r="Z40" s="138" t="s">
        <v>562</v>
      </c>
      <c r="AA40" s="138">
        <v>38607</v>
      </c>
      <c r="AB40" s="9" t="s">
        <v>114</v>
      </c>
      <c r="AC40" s="9" t="s">
        <v>124</v>
      </c>
      <c r="AD40" s="15">
        <v>44651</v>
      </c>
      <c r="AE40" s="39" t="s">
        <v>125</v>
      </c>
      <c r="AF40" s="177">
        <v>6</v>
      </c>
      <c r="AG40" s="140">
        <v>0</v>
      </c>
      <c r="AH40" s="9">
        <v>0</v>
      </c>
      <c r="AI40" s="10" t="s">
        <v>126</v>
      </c>
      <c r="AJ40" s="10"/>
      <c r="AK40" s="29"/>
      <c r="AL40" s="12">
        <v>1</v>
      </c>
      <c r="AM40" s="10"/>
      <c r="AN40" s="12">
        <f>FAR[[#This Row],[Opening RUL]]+FAR[[#This Row],[RUL Adjustment]]</f>
        <v>1</v>
      </c>
      <c r="AO40" s="12">
        <f>FAR[[#This Row],[Opening RUL 30 June 2026]]-1</f>
        <v>0</v>
      </c>
      <c r="AP40" s="12" t="s">
        <v>1050</v>
      </c>
      <c r="AQ40" s="139"/>
      <c r="AR40" s="10" t="s">
        <v>127</v>
      </c>
      <c r="AS40" s="13">
        <v>3192</v>
      </c>
      <c r="AT40" s="13"/>
      <c r="AU40" s="13">
        <v>0</v>
      </c>
      <c r="AV40" s="13">
        <v>0</v>
      </c>
      <c r="AW40" s="13">
        <v>0</v>
      </c>
      <c r="AX40" s="13">
        <v>3192</v>
      </c>
      <c r="AY40" s="13">
        <v>177.33333333333303</v>
      </c>
      <c r="AZ40" s="13">
        <v>0</v>
      </c>
      <c r="BA40" s="13"/>
      <c r="BB40" s="13"/>
      <c r="BC40" s="13">
        <v>-3014.666666666667</v>
      </c>
      <c r="BD40" s="13"/>
      <c r="BE40" s="13" t="s">
        <v>114</v>
      </c>
      <c r="BF40" s="29"/>
      <c r="BG40" s="13"/>
      <c r="BH40" s="13">
        <f>-FAR[[#This Row],[Carrying value (opening balance)]]/FAR[[#This Row],[Opening RUL 30 June 2026]]</f>
        <v>-177.33333333333303</v>
      </c>
      <c r="BI40" s="13">
        <f>FAR[[#This Row],[Depreciation YTD]]/12</f>
        <v>-14.777777777777752</v>
      </c>
      <c r="BJ40" s="13"/>
      <c r="BK40" s="13" t="s">
        <v>116</v>
      </c>
      <c r="BL40" s="13">
        <v>0</v>
      </c>
      <c r="BM40" s="13">
        <f>FAR[[#This Row],[Accumulated depreciation (Opening balance)]]+FAR[[#This Row],[Depreciation YTD]]+FAR[[#This Row],[Derecognitions (acc dep) '[+']]]</f>
        <v>-3192</v>
      </c>
      <c r="BN40" s="13"/>
      <c r="BO40" s="13"/>
      <c r="BP40" s="13"/>
      <c r="BQ40" s="13"/>
      <c r="BR4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0" s="13">
        <f>FAR[[#This Row],[Cost Price (closing balance)]]+FAR[[#This Row],[Accumulated depreciation (Closing balance)]]+FAR[[#This Row],[Accumulated impairments (Closing balance)]]</f>
        <v>0</v>
      </c>
      <c r="BT40" s="13"/>
      <c r="BU40" s="13"/>
      <c r="BV40" s="13"/>
      <c r="BW40" s="10" t="s">
        <v>167</v>
      </c>
      <c r="BX40" s="9" t="s">
        <v>168</v>
      </c>
      <c r="BY40" s="10"/>
      <c r="BZ40" t="s">
        <v>938</v>
      </c>
      <c r="CA40"/>
      <c r="CB40" s="34"/>
      <c r="CC40" s="34"/>
      <c r="CD40" s="34"/>
      <c r="CE40" s="141"/>
    </row>
    <row r="41" spans="1:83">
      <c r="A41" s="35" t="s">
        <v>212</v>
      </c>
      <c r="B41" s="9" t="s">
        <v>872</v>
      </c>
      <c r="C41" s="9" t="s">
        <v>54</v>
      </c>
      <c r="D41" s="10" t="s">
        <v>1</v>
      </c>
      <c r="E41" s="9" t="s">
        <v>115</v>
      </c>
      <c r="F41" s="36" t="s">
        <v>99</v>
      </c>
      <c r="G41" s="9" t="s">
        <v>100</v>
      </c>
      <c r="H41" s="3" t="s">
        <v>128</v>
      </c>
      <c r="I41" s="9" t="s">
        <v>100</v>
      </c>
      <c r="J41" s="36" t="s">
        <v>101</v>
      </c>
      <c r="K41" s="10" t="s">
        <v>559</v>
      </c>
      <c r="L41" s="10" t="s">
        <v>559</v>
      </c>
      <c r="M41" s="9" t="s">
        <v>100</v>
      </c>
      <c r="N41" s="10" t="s">
        <v>451</v>
      </c>
      <c r="O41" s="9" t="s">
        <v>100</v>
      </c>
      <c r="P41" s="10"/>
      <c r="Q41" s="10" t="s">
        <v>451</v>
      </c>
      <c r="R41" s="10" t="s">
        <v>119</v>
      </c>
      <c r="S41" s="10" t="s">
        <v>130</v>
      </c>
      <c r="T41" s="10" t="s">
        <v>120</v>
      </c>
      <c r="U41" s="10" t="s">
        <v>101</v>
      </c>
      <c r="V41" s="10" t="s">
        <v>121</v>
      </c>
      <c r="W41" s="10" t="s">
        <v>122</v>
      </c>
      <c r="X41" s="10" t="s">
        <v>123</v>
      </c>
      <c r="Y41" s="29">
        <v>1</v>
      </c>
      <c r="Z41" s="138" t="s">
        <v>562</v>
      </c>
      <c r="AA41" s="138">
        <v>38607</v>
      </c>
      <c r="AB41" s="9" t="s">
        <v>114</v>
      </c>
      <c r="AC41" s="9" t="s">
        <v>124</v>
      </c>
      <c r="AD41" s="15">
        <v>44651</v>
      </c>
      <c r="AE41" s="39" t="s">
        <v>125</v>
      </c>
      <c r="AF41" s="177">
        <v>6</v>
      </c>
      <c r="AG41" s="140">
        <v>0</v>
      </c>
      <c r="AH41" s="9">
        <v>0</v>
      </c>
      <c r="AI41" s="10" t="s">
        <v>126</v>
      </c>
      <c r="AJ41" s="10"/>
      <c r="AK41" s="29"/>
      <c r="AL41" s="12">
        <v>1</v>
      </c>
      <c r="AM41" s="10"/>
      <c r="AN41" s="12">
        <f>FAR[[#This Row],[Opening RUL]]+FAR[[#This Row],[RUL Adjustment]]</f>
        <v>1</v>
      </c>
      <c r="AO41" s="12">
        <f>FAR[[#This Row],[Opening RUL 30 June 2026]]-1</f>
        <v>0</v>
      </c>
      <c r="AP41" s="12" t="s">
        <v>1050</v>
      </c>
      <c r="AQ41" s="139"/>
      <c r="AR41" s="10" t="s">
        <v>127</v>
      </c>
      <c r="AS41" s="13">
        <v>3192</v>
      </c>
      <c r="AT41" s="13"/>
      <c r="AU41" s="13">
        <v>0</v>
      </c>
      <c r="AV41" s="13">
        <v>0</v>
      </c>
      <c r="AW41" s="13">
        <v>0</v>
      </c>
      <c r="AX41" s="13">
        <v>3192</v>
      </c>
      <c r="AY41" s="13">
        <v>177.33333333333303</v>
      </c>
      <c r="AZ41" s="13">
        <v>0</v>
      </c>
      <c r="BA41" s="13"/>
      <c r="BB41" s="13"/>
      <c r="BC41" s="13">
        <v>-3014.666666666667</v>
      </c>
      <c r="BD41" s="13"/>
      <c r="BE41" s="13" t="s">
        <v>114</v>
      </c>
      <c r="BF41" s="29"/>
      <c r="BG41" s="13"/>
      <c r="BH41" s="13">
        <f>-FAR[[#This Row],[Carrying value (opening balance)]]/FAR[[#This Row],[Opening RUL 30 June 2026]]</f>
        <v>-177.33333333333303</v>
      </c>
      <c r="BI41" s="13">
        <f>FAR[[#This Row],[Depreciation YTD]]/12</f>
        <v>-14.777777777777752</v>
      </c>
      <c r="BJ41" s="13"/>
      <c r="BK41" s="13" t="s">
        <v>116</v>
      </c>
      <c r="BL41" s="13">
        <v>0</v>
      </c>
      <c r="BM41" s="13">
        <f>FAR[[#This Row],[Accumulated depreciation (Opening balance)]]+FAR[[#This Row],[Depreciation YTD]]+FAR[[#This Row],[Derecognitions (acc dep) '[+']]]</f>
        <v>-3192</v>
      </c>
      <c r="BN41" s="13"/>
      <c r="BO41" s="13"/>
      <c r="BP41" s="13"/>
      <c r="BQ41" s="13"/>
      <c r="BR4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1" s="13">
        <f>FAR[[#This Row],[Cost Price (closing balance)]]+FAR[[#This Row],[Accumulated depreciation (Closing balance)]]+FAR[[#This Row],[Accumulated impairments (Closing balance)]]</f>
        <v>0</v>
      </c>
      <c r="BT41" s="13"/>
      <c r="BU41" s="13"/>
      <c r="BV41" s="13"/>
      <c r="BW41" s="10" t="s">
        <v>167</v>
      </c>
      <c r="BX41" s="9" t="s">
        <v>168</v>
      </c>
      <c r="BY41" s="10"/>
      <c r="BZ41" t="s">
        <v>956</v>
      </c>
      <c r="CA41"/>
      <c r="CB41" s="34"/>
      <c r="CC41" s="34"/>
      <c r="CD41" s="34"/>
      <c r="CE41" s="141"/>
    </row>
    <row r="42" spans="1:83">
      <c r="A42" s="35" t="s">
        <v>213</v>
      </c>
      <c r="B42" s="9" t="s">
        <v>873</v>
      </c>
      <c r="C42" s="9" t="s">
        <v>54</v>
      </c>
      <c r="D42" s="10" t="s">
        <v>1</v>
      </c>
      <c r="E42" s="9" t="s">
        <v>115</v>
      </c>
      <c r="F42" s="36" t="s">
        <v>99</v>
      </c>
      <c r="G42" s="9" t="s">
        <v>100</v>
      </c>
      <c r="H42" s="3" t="s">
        <v>128</v>
      </c>
      <c r="I42" s="9" t="s">
        <v>100</v>
      </c>
      <c r="J42" s="36" t="s">
        <v>101</v>
      </c>
      <c r="K42" s="10" t="s">
        <v>559</v>
      </c>
      <c r="L42" s="10" t="s">
        <v>559</v>
      </c>
      <c r="M42" s="9" t="s">
        <v>100</v>
      </c>
      <c r="N42" s="10" t="s">
        <v>451</v>
      </c>
      <c r="O42" s="9" t="s">
        <v>100</v>
      </c>
      <c r="P42" s="10"/>
      <c r="Q42" s="10" t="s">
        <v>451</v>
      </c>
      <c r="R42" s="10" t="s">
        <v>119</v>
      </c>
      <c r="S42" s="10" t="s">
        <v>130</v>
      </c>
      <c r="T42" s="10" t="s">
        <v>120</v>
      </c>
      <c r="U42" s="10" t="s">
        <v>101</v>
      </c>
      <c r="V42" s="10" t="s">
        <v>121</v>
      </c>
      <c r="W42" s="10" t="s">
        <v>122</v>
      </c>
      <c r="X42" s="10" t="s">
        <v>123</v>
      </c>
      <c r="Y42" s="29">
        <v>1</v>
      </c>
      <c r="Z42" s="138" t="s">
        <v>562</v>
      </c>
      <c r="AA42" s="138">
        <v>38607</v>
      </c>
      <c r="AB42" s="9" t="s">
        <v>114</v>
      </c>
      <c r="AC42" s="9" t="s">
        <v>124</v>
      </c>
      <c r="AD42" s="15">
        <v>44651</v>
      </c>
      <c r="AE42" s="39" t="s">
        <v>125</v>
      </c>
      <c r="AF42" s="177">
        <v>6</v>
      </c>
      <c r="AG42" s="140">
        <v>0</v>
      </c>
      <c r="AH42" s="9">
        <v>0</v>
      </c>
      <c r="AI42" s="10" t="s">
        <v>126</v>
      </c>
      <c r="AJ42" s="10"/>
      <c r="AK42" s="29"/>
      <c r="AL42" s="12">
        <v>1</v>
      </c>
      <c r="AM42" s="10"/>
      <c r="AN42" s="12">
        <f>FAR[[#This Row],[Opening RUL]]+FAR[[#This Row],[RUL Adjustment]]</f>
        <v>1</v>
      </c>
      <c r="AO42" s="12">
        <f>FAR[[#This Row],[Opening RUL 30 June 2026]]-1</f>
        <v>0</v>
      </c>
      <c r="AP42" s="12" t="s">
        <v>1050</v>
      </c>
      <c r="AQ42" s="139"/>
      <c r="AR42" s="10" t="s">
        <v>127</v>
      </c>
      <c r="AS42" s="13">
        <v>3192</v>
      </c>
      <c r="AT42" s="13"/>
      <c r="AU42" s="13">
        <v>0</v>
      </c>
      <c r="AV42" s="13">
        <v>0</v>
      </c>
      <c r="AW42" s="13">
        <v>0</v>
      </c>
      <c r="AX42" s="13">
        <v>3192</v>
      </c>
      <c r="AY42" s="13">
        <v>177.33333333333303</v>
      </c>
      <c r="AZ42" s="13">
        <v>0</v>
      </c>
      <c r="BA42" s="13"/>
      <c r="BB42" s="13"/>
      <c r="BC42" s="13">
        <v>-3014.666666666667</v>
      </c>
      <c r="BD42" s="13"/>
      <c r="BE42" s="13" t="s">
        <v>114</v>
      </c>
      <c r="BF42" s="29"/>
      <c r="BG42" s="13"/>
      <c r="BH42" s="13">
        <f>-FAR[[#This Row],[Carrying value (opening balance)]]/FAR[[#This Row],[Opening RUL 30 June 2026]]</f>
        <v>-177.33333333333303</v>
      </c>
      <c r="BI42" s="13">
        <f>FAR[[#This Row],[Depreciation YTD]]/12</f>
        <v>-14.777777777777752</v>
      </c>
      <c r="BJ42" s="13"/>
      <c r="BK42" s="13" t="s">
        <v>116</v>
      </c>
      <c r="BL42" s="13">
        <v>0</v>
      </c>
      <c r="BM42" s="13">
        <f>FAR[[#This Row],[Accumulated depreciation (Opening balance)]]+FAR[[#This Row],[Depreciation YTD]]+FAR[[#This Row],[Derecognitions (acc dep) '[+']]]</f>
        <v>-3192</v>
      </c>
      <c r="BN42" s="13"/>
      <c r="BO42" s="13"/>
      <c r="BP42" s="13"/>
      <c r="BQ42" s="13"/>
      <c r="BR4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2" s="13">
        <f>FAR[[#This Row],[Cost Price (closing balance)]]+FAR[[#This Row],[Accumulated depreciation (Closing balance)]]+FAR[[#This Row],[Accumulated impairments (Closing balance)]]</f>
        <v>0</v>
      </c>
      <c r="BT42" s="13"/>
      <c r="BU42" s="13"/>
      <c r="BV42" s="13"/>
      <c r="BW42" s="10" t="s">
        <v>167</v>
      </c>
      <c r="BX42" s="9" t="s">
        <v>168</v>
      </c>
      <c r="BY42" s="10"/>
      <c r="BZ42" t="s">
        <v>957</v>
      </c>
      <c r="CA42"/>
      <c r="CB42" s="34"/>
      <c r="CC42" s="34"/>
      <c r="CD42" s="34"/>
      <c r="CE42" s="141"/>
    </row>
    <row r="43" spans="1:83">
      <c r="A43" s="35" t="s">
        <v>214</v>
      </c>
      <c r="B43" s="9" t="s">
        <v>855</v>
      </c>
      <c r="C43" s="9" t="s">
        <v>54</v>
      </c>
      <c r="D43" s="10" t="s">
        <v>1</v>
      </c>
      <c r="E43" s="9" t="s">
        <v>115</v>
      </c>
      <c r="F43" s="36" t="s">
        <v>99</v>
      </c>
      <c r="G43" s="9" t="s">
        <v>100</v>
      </c>
      <c r="H43" s="3" t="s">
        <v>128</v>
      </c>
      <c r="I43" s="9" t="s">
        <v>100</v>
      </c>
      <c r="J43" s="36" t="s">
        <v>101</v>
      </c>
      <c r="K43" s="10" t="s">
        <v>559</v>
      </c>
      <c r="L43" s="10" t="s">
        <v>559</v>
      </c>
      <c r="M43" s="9" t="s">
        <v>100</v>
      </c>
      <c r="N43" s="10" t="s">
        <v>451</v>
      </c>
      <c r="O43" s="9" t="s">
        <v>100</v>
      </c>
      <c r="P43" s="10"/>
      <c r="Q43" s="10" t="s">
        <v>451</v>
      </c>
      <c r="R43" s="10" t="s">
        <v>119</v>
      </c>
      <c r="S43" s="10" t="s">
        <v>130</v>
      </c>
      <c r="T43" s="10" t="s">
        <v>120</v>
      </c>
      <c r="U43" s="10" t="s">
        <v>101</v>
      </c>
      <c r="V43" s="10" t="s">
        <v>121</v>
      </c>
      <c r="W43" s="10" t="s">
        <v>122</v>
      </c>
      <c r="X43" s="10" t="s">
        <v>123</v>
      </c>
      <c r="Y43" s="29">
        <v>1</v>
      </c>
      <c r="Z43" s="138" t="s">
        <v>562</v>
      </c>
      <c r="AA43" s="138">
        <v>38607</v>
      </c>
      <c r="AB43" s="9" t="s">
        <v>114</v>
      </c>
      <c r="AC43" s="9" t="s">
        <v>124</v>
      </c>
      <c r="AD43" s="15">
        <v>44651</v>
      </c>
      <c r="AE43" s="39" t="s">
        <v>125</v>
      </c>
      <c r="AF43" s="177">
        <v>6</v>
      </c>
      <c r="AG43" s="140">
        <v>0</v>
      </c>
      <c r="AH43" s="9">
        <v>0</v>
      </c>
      <c r="AI43" s="10" t="s">
        <v>126</v>
      </c>
      <c r="AJ43" s="10"/>
      <c r="AK43" s="29"/>
      <c r="AL43" s="12">
        <v>1</v>
      </c>
      <c r="AM43" s="10"/>
      <c r="AN43" s="12">
        <f>FAR[[#This Row],[Opening RUL]]+FAR[[#This Row],[RUL Adjustment]]</f>
        <v>1</v>
      </c>
      <c r="AO43" s="12">
        <f>FAR[[#This Row],[Opening RUL 30 June 2026]]-1</f>
        <v>0</v>
      </c>
      <c r="AP43" s="12" t="s">
        <v>1051</v>
      </c>
      <c r="AQ43" s="139"/>
      <c r="AR43" s="10" t="s">
        <v>127</v>
      </c>
      <c r="AS43" s="13">
        <v>3192</v>
      </c>
      <c r="AT43" s="13"/>
      <c r="AU43" s="13">
        <v>0</v>
      </c>
      <c r="AV43" s="13">
        <v>0</v>
      </c>
      <c r="AW43" s="13">
        <v>0</v>
      </c>
      <c r="AX43" s="13">
        <v>3192</v>
      </c>
      <c r="AY43" s="13">
        <v>177.33333333333303</v>
      </c>
      <c r="AZ43" s="13">
        <v>0</v>
      </c>
      <c r="BA43" s="13"/>
      <c r="BB43" s="13"/>
      <c r="BC43" s="13">
        <v>-3014.666666666667</v>
      </c>
      <c r="BD43" s="13"/>
      <c r="BE43" s="13" t="s">
        <v>114</v>
      </c>
      <c r="BF43" s="29"/>
      <c r="BG43" s="13"/>
      <c r="BH43" s="13">
        <f>-FAR[[#This Row],[Carrying value (opening balance)]]/FAR[[#This Row],[Opening RUL 30 June 2026]]</f>
        <v>-177.33333333333303</v>
      </c>
      <c r="BI43" s="13">
        <f>FAR[[#This Row],[Depreciation YTD]]/12</f>
        <v>-14.777777777777752</v>
      </c>
      <c r="BJ43" s="13"/>
      <c r="BK43" s="13" t="s">
        <v>116</v>
      </c>
      <c r="BL43" s="13">
        <v>0</v>
      </c>
      <c r="BM43" s="13">
        <f>FAR[[#This Row],[Accumulated depreciation (Opening balance)]]+FAR[[#This Row],[Depreciation YTD]]+FAR[[#This Row],[Derecognitions (acc dep) '[+']]]</f>
        <v>-3192</v>
      </c>
      <c r="BN43" s="13"/>
      <c r="BO43" s="13"/>
      <c r="BP43" s="13"/>
      <c r="BQ43" s="13"/>
      <c r="BR4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3" s="13">
        <f>FAR[[#This Row],[Cost Price (closing balance)]]+FAR[[#This Row],[Accumulated depreciation (Closing balance)]]+FAR[[#This Row],[Accumulated impairments (Closing balance)]]</f>
        <v>0</v>
      </c>
      <c r="BT43" s="13"/>
      <c r="BU43" s="13"/>
      <c r="BV43" s="13"/>
      <c r="BW43" s="10" t="s">
        <v>167</v>
      </c>
      <c r="BX43" s="9" t="s">
        <v>168</v>
      </c>
      <c r="BY43" s="10"/>
      <c r="BZ43" t="s">
        <v>941</v>
      </c>
      <c r="CA43"/>
      <c r="CB43" s="34"/>
      <c r="CC43" s="34"/>
      <c r="CD43" s="34"/>
      <c r="CE43" s="141"/>
    </row>
    <row r="44" spans="1:83">
      <c r="A44" s="35" t="s">
        <v>215</v>
      </c>
      <c r="B44" s="9" t="s">
        <v>869</v>
      </c>
      <c r="C44" s="9" t="s">
        <v>54</v>
      </c>
      <c r="D44" s="10" t="s">
        <v>1</v>
      </c>
      <c r="E44" s="9" t="s">
        <v>115</v>
      </c>
      <c r="F44" s="36" t="s">
        <v>99</v>
      </c>
      <c r="G44" s="9" t="s">
        <v>100</v>
      </c>
      <c r="H44" s="3" t="s">
        <v>128</v>
      </c>
      <c r="I44" s="9" t="s">
        <v>100</v>
      </c>
      <c r="J44" s="36" t="s">
        <v>101</v>
      </c>
      <c r="K44" s="10" t="s">
        <v>559</v>
      </c>
      <c r="L44" s="10" t="s">
        <v>559</v>
      </c>
      <c r="M44" s="9" t="s">
        <v>100</v>
      </c>
      <c r="N44" s="10" t="s">
        <v>451</v>
      </c>
      <c r="O44" s="9" t="s">
        <v>100</v>
      </c>
      <c r="P44" s="10"/>
      <c r="Q44" s="10" t="s">
        <v>451</v>
      </c>
      <c r="R44" s="10" t="s">
        <v>119</v>
      </c>
      <c r="S44" s="10" t="s">
        <v>130</v>
      </c>
      <c r="T44" s="10" t="s">
        <v>120</v>
      </c>
      <c r="U44" s="10" t="s">
        <v>101</v>
      </c>
      <c r="V44" s="10" t="s">
        <v>121</v>
      </c>
      <c r="W44" s="10" t="s">
        <v>122</v>
      </c>
      <c r="X44" s="10" t="s">
        <v>123</v>
      </c>
      <c r="Y44" s="29">
        <v>1</v>
      </c>
      <c r="Z44" s="138" t="s">
        <v>562</v>
      </c>
      <c r="AA44" s="138">
        <v>38607</v>
      </c>
      <c r="AB44" s="9" t="s">
        <v>114</v>
      </c>
      <c r="AC44" s="9" t="s">
        <v>124</v>
      </c>
      <c r="AD44" s="15">
        <v>44651</v>
      </c>
      <c r="AE44" s="39" t="s">
        <v>125</v>
      </c>
      <c r="AF44" s="177">
        <v>6</v>
      </c>
      <c r="AG44" s="140">
        <v>0</v>
      </c>
      <c r="AH44" s="9">
        <v>0</v>
      </c>
      <c r="AI44" s="10" t="s">
        <v>126</v>
      </c>
      <c r="AJ44" s="10"/>
      <c r="AK44" s="29"/>
      <c r="AL44" s="12">
        <v>1</v>
      </c>
      <c r="AM44" s="10"/>
      <c r="AN44" s="12">
        <f>FAR[[#This Row],[Opening RUL]]+FAR[[#This Row],[RUL Adjustment]]</f>
        <v>1</v>
      </c>
      <c r="AO44" s="12">
        <f>FAR[[#This Row],[Opening RUL 30 June 2026]]-1</f>
        <v>0</v>
      </c>
      <c r="AP44" s="12" t="s">
        <v>1050</v>
      </c>
      <c r="AQ44" s="139"/>
      <c r="AR44" s="10" t="s">
        <v>127</v>
      </c>
      <c r="AS44" s="13">
        <v>3192</v>
      </c>
      <c r="AT44" s="13"/>
      <c r="AU44" s="13">
        <v>0</v>
      </c>
      <c r="AV44" s="13">
        <v>0</v>
      </c>
      <c r="AW44" s="13">
        <v>0</v>
      </c>
      <c r="AX44" s="13">
        <v>3192</v>
      </c>
      <c r="AY44" s="13">
        <v>177.33333333333303</v>
      </c>
      <c r="AZ44" s="13">
        <v>0</v>
      </c>
      <c r="BA44" s="13"/>
      <c r="BB44" s="13"/>
      <c r="BC44" s="13">
        <v>-3014.666666666667</v>
      </c>
      <c r="BD44" s="13"/>
      <c r="BE44" s="13" t="s">
        <v>114</v>
      </c>
      <c r="BF44" s="29"/>
      <c r="BG44" s="13"/>
      <c r="BH44" s="13">
        <f>-FAR[[#This Row],[Carrying value (opening balance)]]/FAR[[#This Row],[Opening RUL 30 June 2026]]</f>
        <v>-177.33333333333303</v>
      </c>
      <c r="BI44" s="13">
        <f>FAR[[#This Row],[Depreciation YTD]]/12</f>
        <v>-14.777777777777752</v>
      </c>
      <c r="BJ44" s="13"/>
      <c r="BK44" s="13" t="s">
        <v>116</v>
      </c>
      <c r="BL44" s="13">
        <v>0</v>
      </c>
      <c r="BM44" s="13">
        <f>FAR[[#This Row],[Accumulated depreciation (Opening balance)]]+FAR[[#This Row],[Depreciation YTD]]+FAR[[#This Row],[Derecognitions (acc dep) '[+']]]</f>
        <v>-3192</v>
      </c>
      <c r="BN44" s="13"/>
      <c r="BO44" s="13"/>
      <c r="BP44" s="13"/>
      <c r="BQ44" s="13"/>
      <c r="BR4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4" s="13">
        <f>FAR[[#This Row],[Cost Price (closing balance)]]+FAR[[#This Row],[Accumulated depreciation (Closing balance)]]+FAR[[#This Row],[Accumulated impairments (Closing balance)]]</f>
        <v>0</v>
      </c>
      <c r="BT44" s="13"/>
      <c r="BU44" s="13"/>
      <c r="BV44" s="13"/>
      <c r="BW44" s="10" t="s">
        <v>167</v>
      </c>
      <c r="BX44" s="9" t="s">
        <v>168</v>
      </c>
      <c r="BY44" s="10"/>
      <c r="BZ44" t="s">
        <v>958</v>
      </c>
      <c r="CA44"/>
      <c r="CB44" s="34"/>
      <c r="CC44" s="34"/>
      <c r="CD44" s="34"/>
      <c r="CE44" s="141"/>
    </row>
    <row r="45" spans="1:83">
      <c r="A45" s="35" t="s">
        <v>216</v>
      </c>
      <c r="B45" s="9" t="s">
        <v>859</v>
      </c>
      <c r="C45" s="9" t="s">
        <v>54</v>
      </c>
      <c r="D45" s="10" t="s">
        <v>1</v>
      </c>
      <c r="E45" s="9" t="s">
        <v>115</v>
      </c>
      <c r="F45" s="36" t="s">
        <v>99</v>
      </c>
      <c r="G45" s="9" t="s">
        <v>100</v>
      </c>
      <c r="H45" s="3" t="s">
        <v>128</v>
      </c>
      <c r="I45" s="9" t="s">
        <v>100</v>
      </c>
      <c r="J45" s="36" t="s">
        <v>101</v>
      </c>
      <c r="K45" s="10" t="s">
        <v>559</v>
      </c>
      <c r="L45" s="10" t="s">
        <v>559</v>
      </c>
      <c r="M45" s="9" t="s">
        <v>100</v>
      </c>
      <c r="N45" s="10" t="s">
        <v>451</v>
      </c>
      <c r="O45" s="9" t="s">
        <v>100</v>
      </c>
      <c r="P45" s="10"/>
      <c r="Q45" s="10" t="s">
        <v>451</v>
      </c>
      <c r="R45" s="10" t="s">
        <v>119</v>
      </c>
      <c r="S45" s="10" t="s">
        <v>130</v>
      </c>
      <c r="T45" s="10" t="s">
        <v>120</v>
      </c>
      <c r="U45" s="10" t="s">
        <v>101</v>
      </c>
      <c r="V45" s="10" t="s">
        <v>121</v>
      </c>
      <c r="W45" s="10" t="s">
        <v>122</v>
      </c>
      <c r="X45" s="10" t="s">
        <v>123</v>
      </c>
      <c r="Y45" s="29">
        <v>1</v>
      </c>
      <c r="Z45" s="138" t="s">
        <v>562</v>
      </c>
      <c r="AA45" s="138">
        <v>38607</v>
      </c>
      <c r="AB45" s="9" t="s">
        <v>114</v>
      </c>
      <c r="AC45" s="9" t="s">
        <v>124</v>
      </c>
      <c r="AD45" s="15">
        <v>44651</v>
      </c>
      <c r="AE45" s="39" t="s">
        <v>125</v>
      </c>
      <c r="AF45" s="177">
        <v>6</v>
      </c>
      <c r="AG45" s="140">
        <v>0</v>
      </c>
      <c r="AH45" s="9">
        <v>0</v>
      </c>
      <c r="AI45" s="10" t="s">
        <v>126</v>
      </c>
      <c r="AJ45" s="10"/>
      <c r="AK45" s="29"/>
      <c r="AL45" s="12">
        <v>1</v>
      </c>
      <c r="AM45" s="10"/>
      <c r="AN45" s="12">
        <f>FAR[[#This Row],[Opening RUL]]+FAR[[#This Row],[RUL Adjustment]]</f>
        <v>1</v>
      </c>
      <c r="AO45" s="12">
        <f>FAR[[#This Row],[Opening RUL 30 June 2026]]-1</f>
        <v>0</v>
      </c>
      <c r="AP45" s="12" t="s">
        <v>1050</v>
      </c>
      <c r="AQ45" s="139"/>
      <c r="AR45" s="10" t="s">
        <v>127</v>
      </c>
      <c r="AS45" s="13">
        <v>3192</v>
      </c>
      <c r="AT45" s="13"/>
      <c r="AU45" s="13">
        <v>0</v>
      </c>
      <c r="AV45" s="13">
        <v>0</v>
      </c>
      <c r="AW45" s="13">
        <v>0</v>
      </c>
      <c r="AX45" s="13">
        <v>3192</v>
      </c>
      <c r="AY45" s="13">
        <v>177.33333333333303</v>
      </c>
      <c r="AZ45" s="13">
        <v>0</v>
      </c>
      <c r="BA45" s="13"/>
      <c r="BB45" s="13"/>
      <c r="BC45" s="13">
        <v>-3014.666666666667</v>
      </c>
      <c r="BD45" s="13"/>
      <c r="BE45" s="13" t="s">
        <v>114</v>
      </c>
      <c r="BF45" s="29"/>
      <c r="BG45" s="13"/>
      <c r="BH45" s="13">
        <f>-FAR[[#This Row],[Carrying value (opening balance)]]/FAR[[#This Row],[Opening RUL 30 June 2026]]</f>
        <v>-177.33333333333303</v>
      </c>
      <c r="BI45" s="13">
        <f>FAR[[#This Row],[Depreciation YTD]]/12</f>
        <v>-14.777777777777752</v>
      </c>
      <c r="BJ45" s="13"/>
      <c r="BK45" s="13" t="s">
        <v>116</v>
      </c>
      <c r="BL45" s="13">
        <v>0</v>
      </c>
      <c r="BM45" s="13">
        <f>FAR[[#This Row],[Accumulated depreciation (Opening balance)]]+FAR[[#This Row],[Depreciation YTD]]+FAR[[#This Row],[Derecognitions (acc dep) '[+']]]</f>
        <v>-3192</v>
      </c>
      <c r="BN45" s="13"/>
      <c r="BO45" s="13"/>
      <c r="BP45" s="13"/>
      <c r="BQ45" s="13"/>
      <c r="BR4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5" s="13">
        <f>FAR[[#This Row],[Cost Price (closing balance)]]+FAR[[#This Row],[Accumulated depreciation (Closing balance)]]+FAR[[#This Row],[Accumulated impairments (Closing balance)]]</f>
        <v>0</v>
      </c>
      <c r="BT45" s="13"/>
      <c r="BU45" s="13"/>
      <c r="BV45" s="13"/>
      <c r="BW45" s="10" t="s">
        <v>167</v>
      </c>
      <c r="BX45" s="9" t="s">
        <v>168</v>
      </c>
      <c r="BY45" s="10"/>
      <c r="BZ45" t="s">
        <v>944</v>
      </c>
      <c r="CA45"/>
      <c r="CB45" s="34"/>
      <c r="CC45" s="34"/>
      <c r="CD45" s="34"/>
      <c r="CE45" s="141"/>
    </row>
    <row r="46" spans="1:83">
      <c r="A46" s="35" t="s">
        <v>217</v>
      </c>
      <c r="B46" s="9" t="s">
        <v>874</v>
      </c>
      <c r="C46" s="9" t="s">
        <v>54</v>
      </c>
      <c r="D46" s="10" t="s">
        <v>1</v>
      </c>
      <c r="E46" s="9" t="s">
        <v>115</v>
      </c>
      <c r="F46" s="36" t="s">
        <v>99</v>
      </c>
      <c r="G46" s="9" t="s">
        <v>100</v>
      </c>
      <c r="H46" s="3" t="s">
        <v>128</v>
      </c>
      <c r="I46" s="9" t="s">
        <v>100</v>
      </c>
      <c r="J46" s="36" t="s">
        <v>101</v>
      </c>
      <c r="K46" s="10" t="s">
        <v>559</v>
      </c>
      <c r="L46" s="10" t="s">
        <v>559</v>
      </c>
      <c r="M46" s="9" t="s">
        <v>100</v>
      </c>
      <c r="N46" s="10" t="s">
        <v>451</v>
      </c>
      <c r="O46" s="9" t="s">
        <v>100</v>
      </c>
      <c r="P46" s="10"/>
      <c r="Q46" s="10" t="s">
        <v>451</v>
      </c>
      <c r="R46" s="10" t="s">
        <v>119</v>
      </c>
      <c r="S46" s="10" t="s">
        <v>130</v>
      </c>
      <c r="T46" s="10" t="s">
        <v>120</v>
      </c>
      <c r="U46" s="10" t="s">
        <v>101</v>
      </c>
      <c r="V46" s="10" t="s">
        <v>121</v>
      </c>
      <c r="W46" s="10" t="s">
        <v>122</v>
      </c>
      <c r="X46" s="10" t="s">
        <v>123</v>
      </c>
      <c r="Y46" s="29">
        <v>1</v>
      </c>
      <c r="Z46" s="138" t="s">
        <v>562</v>
      </c>
      <c r="AA46" s="138">
        <v>38607</v>
      </c>
      <c r="AB46" s="9" t="s">
        <v>114</v>
      </c>
      <c r="AC46" s="9" t="s">
        <v>124</v>
      </c>
      <c r="AD46" s="15">
        <v>44651</v>
      </c>
      <c r="AE46" s="39" t="s">
        <v>125</v>
      </c>
      <c r="AF46" s="177">
        <v>6</v>
      </c>
      <c r="AG46" s="140">
        <v>0</v>
      </c>
      <c r="AH46" s="9">
        <v>0</v>
      </c>
      <c r="AI46" s="10" t="s">
        <v>126</v>
      </c>
      <c r="AJ46" s="10"/>
      <c r="AK46" s="29"/>
      <c r="AL46" s="12">
        <v>1</v>
      </c>
      <c r="AM46" s="10"/>
      <c r="AN46" s="12">
        <f>FAR[[#This Row],[Opening RUL]]+FAR[[#This Row],[RUL Adjustment]]</f>
        <v>1</v>
      </c>
      <c r="AO46" s="12">
        <f>FAR[[#This Row],[Opening RUL 30 June 2026]]-1</f>
        <v>0</v>
      </c>
      <c r="AP46" s="12" t="s">
        <v>1050</v>
      </c>
      <c r="AQ46" s="139"/>
      <c r="AR46" s="10" t="s">
        <v>127</v>
      </c>
      <c r="AS46" s="13">
        <v>3192</v>
      </c>
      <c r="AT46" s="13"/>
      <c r="AU46" s="13">
        <v>0</v>
      </c>
      <c r="AV46" s="13">
        <v>0</v>
      </c>
      <c r="AW46" s="13">
        <v>0</v>
      </c>
      <c r="AX46" s="13">
        <v>3192</v>
      </c>
      <c r="AY46" s="13">
        <v>177.33333333333303</v>
      </c>
      <c r="AZ46" s="13">
        <v>0</v>
      </c>
      <c r="BA46" s="13"/>
      <c r="BB46" s="13"/>
      <c r="BC46" s="13">
        <v>-3014.666666666667</v>
      </c>
      <c r="BD46" s="13"/>
      <c r="BE46" s="13" t="s">
        <v>114</v>
      </c>
      <c r="BF46" s="29"/>
      <c r="BG46" s="13"/>
      <c r="BH46" s="13">
        <f>-FAR[[#This Row],[Carrying value (opening balance)]]/FAR[[#This Row],[Opening RUL 30 June 2026]]</f>
        <v>-177.33333333333303</v>
      </c>
      <c r="BI46" s="13">
        <f>FAR[[#This Row],[Depreciation YTD]]/12</f>
        <v>-14.777777777777752</v>
      </c>
      <c r="BJ46" s="13"/>
      <c r="BK46" s="13" t="s">
        <v>116</v>
      </c>
      <c r="BL46" s="13">
        <v>0</v>
      </c>
      <c r="BM46" s="13">
        <f>FAR[[#This Row],[Accumulated depreciation (Opening balance)]]+FAR[[#This Row],[Depreciation YTD]]+FAR[[#This Row],[Derecognitions (acc dep) '[+']]]</f>
        <v>-3192</v>
      </c>
      <c r="BN46" s="13"/>
      <c r="BO46" s="13"/>
      <c r="BP46" s="13"/>
      <c r="BQ46" s="13"/>
      <c r="BR4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6" s="13">
        <f>FAR[[#This Row],[Cost Price (closing balance)]]+FAR[[#This Row],[Accumulated depreciation (Closing balance)]]+FAR[[#This Row],[Accumulated impairments (Closing balance)]]</f>
        <v>0</v>
      </c>
      <c r="BT46" s="13"/>
      <c r="BU46" s="13"/>
      <c r="BV46" s="13"/>
      <c r="BW46" s="10" t="s">
        <v>167</v>
      </c>
      <c r="BX46" s="9" t="s">
        <v>168</v>
      </c>
      <c r="BY46" s="10"/>
      <c r="BZ46" t="s">
        <v>959</v>
      </c>
      <c r="CA46"/>
      <c r="CB46" s="34"/>
      <c r="CC46" s="34"/>
      <c r="CD46" s="34"/>
      <c r="CE46" s="141"/>
    </row>
    <row r="47" spans="1:83">
      <c r="A47" s="35" t="s">
        <v>218</v>
      </c>
      <c r="B47" s="9" t="s">
        <v>875</v>
      </c>
      <c r="C47" s="9" t="s">
        <v>54</v>
      </c>
      <c r="D47" s="10" t="s">
        <v>1</v>
      </c>
      <c r="E47" s="9" t="s">
        <v>115</v>
      </c>
      <c r="F47" s="36" t="s">
        <v>99</v>
      </c>
      <c r="G47" s="9" t="s">
        <v>100</v>
      </c>
      <c r="H47" s="3" t="s">
        <v>128</v>
      </c>
      <c r="I47" s="9" t="s">
        <v>100</v>
      </c>
      <c r="J47" s="36" t="s">
        <v>101</v>
      </c>
      <c r="K47" s="10" t="s">
        <v>559</v>
      </c>
      <c r="L47" s="10" t="s">
        <v>559</v>
      </c>
      <c r="M47" s="9" t="s">
        <v>100</v>
      </c>
      <c r="N47" s="10" t="s">
        <v>453</v>
      </c>
      <c r="O47" s="9" t="s">
        <v>100</v>
      </c>
      <c r="P47" s="10"/>
      <c r="Q47" s="10" t="s">
        <v>453</v>
      </c>
      <c r="R47" s="10" t="s">
        <v>119</v>
      </c>
      <c r="S47" s="10" t="s">
        <v>130</v>
      </c>
      <c r="T47" s="10" t="s">
        <v>120</v>
      </c>
      <c r="U47" s="10" t="s">
        <v>101</v>
      </c>
      <c r="V47" s="10" t="s">
        <v>121</v>
      </c>
      <c r="W47" s="10" t="s">
        <v>122</v>
      </c>
      <c r="X47" s="10" t="s">
        <v>123</v>
      </c>
      <c r="Y47" s="29">
        <v>1</v>
      </c>
      <c r="Z47" s="138" t="s">
        <v>563</v>
      </c>
      <c r="AA47" s="138">
        <v>38609</v>
      </c>
      <c r="AB47" s="9" t="s">
        <v>114</v>
      </c>
      <c r="AC47" s="9" t="s">
        <v>124</v>
      </c>
      <c r="AD47" s="15">
        <v>44651</v>
      </c>
      <c r="AE47" s="39" t="s">
        <v>125</v>
      </c>
      <c r="AF47" s="177">
        <v>6</v>
      </c>
      <c r="AG47" s="140">
        <v>0</v>
      </c>
      <c r="AH47" s="9">
        <v>0</v>
      </c>
      <c r="AI47" s="10" t="s">
        <v>126</v>
      </c>
      <c r="AJ47" s="10"/>
      <c r="AK47" s="29"/>
      <c r="AL47" s="12">
        <v>1</v>
      </c>
      <c r="AM47" s="10"/>
      <c r="AN47" s="12">
        <f>FAR[[#This Row],[Opening RUL]]+FAR[[#This Row],[RUL Adjustment]]</f>
        <v>1</v>
      </c>
      <c r="AO47" s="12">
        <f>FAR[[#This Row],[Opening RUL 30 June 2026]]-1</f>
        <v>0</v>
      </c>
      <c r="AP47" s="12" t="s">
        <v>1050</v>
      </c>
      <c r="AQ47" s="139"/>
      <c r="AR47" s="10" t="s">
        <v>127</v>
      </c>
      <c r="AS47" s="13">
        <v>1368</v>
      </c>
      <c r="AT47" s="13"/>
      <c r="AU47" s="13">
        <v>0</v>
      </c>
      <c r="AV47" s="13">
        <v>0</v>
      </c>
      <c r="AW47" s="13">
        <v>0</v>
      </c>
      <c r="AX47" s="13">
        <v>1368</v>
      </c>
      <c r="AY47" s="13">
        <v>76</v>
      </c>
      <c r="AZ47" s="13">
        <v>0</v>
      </c>
      <c r="BA47" s="13"/>
      <c r="BB47" s="13"/>
      <c r="BC47" s="13">
        <v>-1292</v>
      </c>
      <c r="BD47" s="13"/>
      <c r="BE47" s="13" t="s">
        <v>114</v>
      </c>
      <c r="BF47" s="29"/>
      <c r="BG47" s="13"/>
      <c r="BH47" s="13">
        <f>-FAR[[#This Row],[Carrying value (opening balance)]]/FAR[[#This Row],[Opening RUL 30 June 2026]]</f>
        <v>-76</v>
      </c>
      <c r="BI47" s="13">
        <f>FAR[[#This Row],[Depreciation YTD]]/12</f>
        <v>-6.333333333333333</v>
      </c>
      <c r="BJ47" s="13"/>
      <c r="BK47" s="13" t="s">
        <v>116</v>
      </c>
      <c r="BL47" s="13">
        <v>0</v>
      </c>
      <c r="BM47" s="13">
        <f>FAR[[#This Row],[Accumulated depreciation (Opening balance)]]+FAR[[#This Row],[Depreciation YTD]]+FAR[[#This Row],[Derecognitions (acc dep) '[+']]]</f>
        <v>-1368</v>
      </c>
      <c r="BN47" s="13"/>
      <c r="BO47" s="13"/>
      <c r="BP47" s="13"/>
      <c r="BQ47" s="13"/>
      <c r="BR4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7" s="13">
        <f>FAR[[#This Row],[Cost Price (closing balance)]]+FAR[[#This Row],[Accumulated depreciation (Closing balance)]]+FAR[[#This Row],[Accumulated impairments (Closing balance)]]</f>
        <v>0</v>
      </c>
      <c r="BT47" s="13"/>
      <c r="BU47" s="13"/>
      <c r="BV47" s="13"/>
      <c r="BW47" s="10" t="s">
        <v>167</v>
      </c>
      <c r="BX47" s="9" t="s">
        <v>168</v>
      </c>
      <c r="BY47" s="10"/>
      <c r="BZ47" t="s">
        <v>940</v>
      </c>
      <c r="CA47"/>
      <c r="CB47" s="34"/>
      <c r="CC47" s="34"/>
      <c r="CD47" s="34"/>
      <c r="CE47" s="141"/>
    </row>
    <row r="48" spans="1:83">
      <c r="A48" s="35" t="s">
        <v>219</v>
      </c>
      <c r="B48" s="9" t="s">
        <v>876</v>
      </c>
      <c r="C48" s="9" t="s">
        <v>54</v>
      </c>
      <c r="D48" s="10" t="s">
        <v>1</v>
      </c>
      <c r="E48" s="9" t="s">
        <v>115</v>
      </c>
      <c r="F48" s="36" t="s">
        <v>99</v>
      </c>
      <c r="G48" s="9" t="s">
        <v>100</v>
      </c>
      <c r="H48" s="3" t="s">
        <v>128</v>
      </c>
      <c r="I48" s="9" t="s">
        <v>100</v>
      </c>
      <c r="J48" s="36" t="s">
        <v>101</v>
      </c>
      <c r="K48" s="10" t="s">
        <v>559</v>
      </c>
      <c r="L48" s="10" t="s">
        <v>559</v>
      </c>
      <c r="M48" s="9" t="s">
        <v>100</v>
      </c>
      <c r="N48" s="10" t="s">
        <v>454</v>
      </c>
      <c r="O48" s="9" t="s">
        <v>100</v>
      </c>
      <c r="P48" s="10"/>
      <c r="Q48" s="10" t="s">
        <v>454</v>
      </c>
      <c r="R48" s="10" t="s">
        <v>119</v>
      </c>
      <c r="S48" s="10" t="s">
        <v>130</v>
      </c>
      <c r="T48" s="10" t="s">
        <v>120</v>
      </c>
      <c r="U48" s="10" t="s">
        <v>101</v>
      </c>
      <c r="V48" s="10" t="s">
        <v>121</v>
      </c>
      <c r="W48" s="10" t="s">
        <v>122</v>
      </c>
      <c r="X48" s="10" t="s">
        <v>123</v>
      </c>
      <c r="Y48" s="29">
        <v>1</v>
      </c>
      <c r="Z48" s="138" t="s">
        <v>563</v>
      </c>
      <c r="AA48" s="138">
        <v>38609</v>
      </c>
      <c r="AB48" s="9" t="s">
        <v>114</v>
      </c>
      <c r="AC48" s="9" t="s">
        <v>124</v>
      </c>
      <c r="AD48" s="15">
        <v>44651</v>
      </c>
      <c r="AE48" s="39" t="s">
        <v>125</v>
      </c>
      <c r="AF48" s="177">
        <v>6</v>
      </c>
      <c r="AG48" s="140">
        <v>0</v>
      </c>
      <c r="AH48" s="9">
        <v>0</v>
      </c>
      <c r="AI48" s="10" t="s">
        <v>126</v>
      </c>
      <c r="AJ48" s="10"/>
      <c r="AK48" s="29"/>
      <c r="AL48" s="12">
        <v>1</v>
      </c>
      <c r="AM48" s="10"/>
      <c r="AN48" s="12">
        <f>FAR[[#This Row],[Opening RUL]]+FAR[[#This Row],[RUL Adjustment]]</f>
        <v>1</v>
      </c>
      <c r="AO48" s="12">
        <f>FAR[[#This Row],[Opening RUL 30 June 2026]]-1</f>
        <v>0</v>
      </c>
      <c r="AP48" s="12" t="s">
        <v>1050</v>
      </c>
      <c r="AQ48" s="139"/>
      <c r="AR48" s="10" t="s">
        <v>127</v>
      </c>
      <c r="AS48" s="13">
        <v>8208</v>
      </c>
      <c r="AT48" s="13"/>
      <c r="AU48" s="13">
        <v>0</v>
      </c>
      <c r="AV48" s="13">
        <v>0</v>
      </c>
      <c r="AW48" s="13">
        <v>0</v>
      </c>
      <c r="AX48" s="13">
        <v>8208</v>
      </c>
      <c r="AY48" s="13">
        <v>456</v>
      </c>
      <c r="AZ48" s="13">
        <v>0</v>
      </c>
      <c r="BA48" s="13"/>
      <c r="BB48" s="13"/>
      <c r="BC48" s="13">
        <v>-7752</v>
      </c>
      <c r="BD48" s="13"/>
      <c r="BE48" s="13" t="s">
        <v>114</v>
      </c>
      <c r="BF48" s="29"/>
      <c r="BG48" s="13"/>
      <c r="BH48" s="13">
        <f>-FAR[[#This Row],[Carrying value (opening balance)]]/FAR[[#This Row],[Opening RUL 30 June 2026]]</f>
        <v>-456</v>
      </c>
      <c r="BI48" s="13">
        <f>FAR[[#This Row],[Depreciation YTD]]/12</f>
        <v>-38</v>
      </c>
      <c r="BJ48" s="13"/>
      <c r="BK48" s="13" t="s">
        <v>116</v>
      </c>
      <c r="BL48" s="13">
        <v>0</v>
      </c>
      <c r="BM48" s="13">
        <f>FAR[[#This Row],[Accumulated depreciation (Opening balance)]]+FAR[[#This Row],[Depreciation YTD]]+FAR[[#This Row],[Derecognitions (acc dep) '[+']]]</f>
        <v>-8208</v>
      </c>
      <c r="BN48" s="13"/>
      <c r="BO48" s="13"/>
      <c r="BP48" s="13"/>
      <c r="BQ48" s="13"/>
      <c r="BR4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8" s="13">
        <f>FAR[[#This Row],[Cost Price (closing balance)]]+FAR[[#This Row],[Accumulated depreciation (Closing balance)]]+FAR[[#This Row],[Accumulated impairments (Closing balance)]]</f>
        <v>0</v>
      </c>
      <c r="BT48" s="13"/>
      <c r="BU48" s="13"/>
      <c r="BV48" s="13"/>
      <c r="BW48" s="10" t="s">
        <v>167</v>
      </c>
      <c r="BX48" s="9" t="s">
        <v>168</v>
      </c>
      <c r="BY48" s="10"/>
      <c r="BZ48" t="s">
        <v>942</v>
      </c>
      <c r="CA48"/>
      <c r="CB48" s="34"/>
      <c r="CC48" s="34"/>
      <c r="CD48" s="34"/>
      <c r="CE48" s="141"/>
    </row>
    <row r="49" spans="1:83">
      <c r="A49" s="35" t="s">
        <v>220</v>
      </c>
      <c r="B49" s="9" t="s">
        <v>877</v>
      </c>
      <c r="C49" s="9" t="s">
        <v>54</v>
      </c>
      <c r="D49" s="10" t="s">
        <v>1</v>
      </c>
      <c r="E49" s="9" t="s">
        <v>115</v>
      </c>
      <c r="F49" s="36" t="s">
        <v>99</v>
      </c>
      <c r="G49" s="9" t="s">
        <v>100</v>
      </c>
      <c r="H49" s="3" t="s">
        <v>128</v>
      </c>
      <c r="I49" s="9" t="s">
        <v>100</v>
      </c>
      <c r="J49" s="36" t="s">
        <v>101</v>
      </c>
      <c r="K49" s="10" t="s">
        <v>559</v>
      </c>
      <c r="L49" s="10" t="s">
        <v>559</v>
      </c>
      <c r="M49" s="9" t="s">
        <v>100</v>
      </c>
      <c r="N49" s="10" t="s">
        <v>455</v>
      </c>
      <c r="O49" s="9" t="s">
        <v>100</v>
      </c>
      <c r="P49" s="10"/>
      <c r="Q49" s="10" t="s">
        <v>455</v>
      </c>
      <c r="R49" s="10" t="s">
        <v>119</v>
      </c>
      <c r="S49" s="10" t="s">
        <v>130</v>
      </c>
      <c r="T49" s="10" t="s">
        <v>120</v>
      </c>
      <c r="U49" s="10" t="s">
        <v>101</v>
      </c>
      <c r="V49" s="10" t="s">
        <v>121</v>
      </c>
      <c r="W49" s="10" t="s">
        <v>122</v>
      </c>
      <c r="X49" s="10" t="s">
        <v>123</v>
      </c>
      <c r="Y49" s="29">
        <v>1</v>
      </c>
      <c r="Z49" s="138" t="s">
        <v>564</v>
      </c>
      <c r="AA49" s="138">
        <v>38602</v>
      </c>
      <c r="AB49" s="9" t="s">
        <v>114</v>
      </c>
      <c r="AC49" s="9" t="s">
        <v>124</v>
      </c>
      <c r="AD49" s="15">
        <v>44651</v>
      </c>
      <c r="AE49" s="39" t="s">
        <v>125</v>
      </c>
      <c r="AF49" s="177">
        <v>6</v>
      </c>
      <c r="AG49" s="140">
        <v>0</v>
      </c>
      <c r="AH49" s="9">
        <v>0</v>
      </c>
      <c r="AI49" s="10" t="s">
        <v>126</v>
      </c>
      <c r="AJ49" s="10"/>
      <c r="AK49" s="29"/>
      <c r="AL49" s="12">
        <v>1</v>
      </c>
      <c r="AM49" s="10"/>
      <c r="AN49" s="12">
        <f>FAR[[#This Row],[Opening RUL]]+FAR[[#This Row],[RUL Adjustment]]</f>
        <v>1</v>
      </c>
      <c r="AO49" s="12">
        <f>FAR[[#This Row],[Opening RUL 30 June 2026]]-1</f>
        <v>0</v>
      </c>
      <c r="AP49" s="12" t="s">
        <v>1050</v>
      </c>
      <c r="AQ49" s="139"/>
      <c r="AR49" s="10" t="s">
        <v>127</v>
      </c>
      <c r="AS49" s="13">
        <v>3534</v>
      </c>
      <c r="AT49" s="13"/>
      <c r="AU49" s="13">
        <v>0</v>
      </c>
      <c r="AV49" s="13">
        <v>0</v>
      </c>
      <c r="AW49" s="13">
        <v>0</v>
      </c>
      <c r="AX49" s="13">
        <v>3534</v>
      </c>
      <c r="AY49" s="13">
        <v>196.33333333333303</v>
      </c>
      <c r="AZ49" s="13">
        <v>0</v>
      </c>
      <c r="BA49" s="13"/>
      <c r="BB49" s="13"/>
      <c r="BC49" s="13">
        <v>-3337.666666666667</v>
      </c>
      <c r="BD49" s="13"/>
      <c r="BE49" s="13" t="s">
        <v>114</v>
      </c>
      <c r="BF49" s="29"/>
      <c r="BG49" s="13"/>
      <c r="BH49" s="13">
        <f>-FAR[[#This Row],[Carrying value (opening balance)]]/FAR[[#This Row],[Opening RUL 30 June 2026]]</f>
        <v>-196.33333333333303</v>
      </c>
      <c r="BI49" s="13">
        <f>FAR[[#This Row],[Depreciation YTD]]/12</f>
        <v>-16.361111111111086</v>
      </c>
      <c r="BJ49" s="13"/>
      <c r="BK49" s="13" t="s">
        <v>116</v>
      </c>
      <c r="BL49" s="13">
        <v>0</v>
      </c>
      <c r="BM49" s="13">
        <f>FAR[[#This Row],[Accumulated depreciation (Opening balance)]]+FAR[[#This Row],[Depreciation YTD]]+FAR[[#This Row],[Derecognitions (acc dep) '[+']]]</f>
        <v>-3534</v>
      </c>
      <c r="BN49" s="13"/>
      <c r="BO49" s="13"/>
      <c r="BP49" s="13"/>
      <c r="BQ49" s="13"/>
      <c r="BR4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9" s="13">
        <f>FAR[[#This Row],[Cost Price (closing balance)]]+FAR[[#This Row],[Accumulated depreciation (Closing balance)]]+FAR[[#This Row],[Accumulated impairments (Closing balance)]]</f>
        <v>0</v>
      </c>
      <c r="BT49" s="13"/>
      <c r="BU49" s="13"/>
      <c r="BV49" s="13"/>
      <c r="BW49" s="10" t="s">
        <v>167</v>
      </c>
      <c r="BX49" s="9" t="s">
        <v>168</v>
      </c>
      <c r="BY49" s="10"/>
      <c r="BZ49" t="s">
        <v>960</v>
      </c>
      <c r="CA49"/>
      <c r="CB49" s="34"/>
      <c r="CC49" s="34"/>
      <c r="CD49" s="34"/>
      <c r="CE49" s="141"/>
    </row>
    <row r="50" spans="1:83">
      <c r="A50" s="35" t="s">
        <v>221</v>
      </c>
      <c r="B50" s="9" t="s">
        <v>868</v>
      </c>
      <c r="C50" s="9" t="s">
        <v>54</v>
      </c>
      <c r="D50" s="10" t="s">
        <v>1</v>
      </c>
      <c r="E50" s="9" t="s">
        <v>115</v>
      </c>
      <c r="F50" s="36" t="s">
        <v>99</v>
      </c>
      <c r="G50" s="9" t="s">
        <v>100</v>
      </c>
      <c r="H50" s="3" t="s">
        <v>128</v>
      </c>
      <c r="I50" s="9" t="s">
        <v>100</v>
      </c>
      <c r="J50" s="36" t="s">
        <v>101</v>
      </c>
      <c r="K50" s="10" t="s">
        <v>559</v>
      </c>
      <c r="L50" s="10" t="s">
        <v>559</v>
      </c>
      <c r="M50" s="9" t="s">
        <v>100</v>
      </c>
      <c r="N50" s="10" t="s">
        <v>456</v>
      </c>
      <c r="O50" s="9" t="s">
        <v>100</v>
      </c>
      <c r="P50" s="10"/>
      <c r="Q50" s="10" t="s">
        <v>456</v>
      </c>
      <c r="R50" s="10" t="s">
        <v>119</v>
      </c>
      <c r="S50" s="10" t="s">
        <v>130</v>
      </c>
      <c r="T50" s="10" t="s">
        <v>120</v>
      </c>
      <c r="U50" s="10" t="s">
        <v>101</v>
      </c>
      <c r="V50" s="10" t="s">
        <v>121</v>
      </c>
      <c r="W50" s="10" t="s">
        <v>122</v>
      </c>
      <c r="X50" s="10" t="s">
        <v>123</v>
      </c>
      <c r="Y50" s="29">
        <v>1</v>
      </c>
      <c r="Z50" s="138" t="s">
        <v>564</v>
      </c>
      <c r="AA50" s="138">
        <v>38602</v>
      </c>
      <c r="AB50" s="9" t="s">
        <v>114</v>
      </c>
      <c r="AC50" s="9" t="s">
        <v>124</v>
      </c>
      <c r="AD50" s="15">
        <v>44651</v>
      </c>
      <c r="AE50" s="39" t="s">
        <v>125</v>
      </c>
      <c r="AF50" s="177">
        <v>6</v>
      </c>
      <c r="AG50" s="140">
        <v>0</v>
      </c>
      <c r="AH50" s="9">
        <v>0</v>
      </c>
      <c r="AI50" s="10" t="s">
        <v>126</v>
      </c>
      <c r="AJ50" s="10"/>
      <c r="AK50" s="29"/>
      <c r="AL50" s="12">
        <v>1</v>
      </c>
      <c r="AM50" s="10"/>
      <c r="AN50" s="12">
        <f>FAR[[#This Row],[Opening RUL]]+FAR[[#This Row],[RUL Adjustment]]</f>
        <v>1</v>
      </c>
      <c r="AO50" s="12">
        <f>FAR[[#This Row],[Opening RUL 30 June 2026]]-1</f>
        <v>0</v>
      </c>
      <c r="AP50" s="12" t="s">
        <v>1050</v>
      </c>
      <c r="AQ50" s="139"/>
      <c r="AR50" s="10" t="s">
        <v>127</v>
      </c>
      <c r="AS50" s="13">
        <v>3534</v>
      </c>
      <c r="AT50" s="13"/>
      <c r="AU50" s="13">
        <v>0</v>
      </c>
      <c r="AV50" s="13">
        <v>0</v>
      </c>
      <c r="AW50" s="13">
        <v>0</v>
      </c>
      <c r="AX50" s="13">
        <v>3534</v>
      </c>
      <c r="AY50" s="13">
        <v>196.33333333333303</v>
      </c>
      <c r="AZ50" s="13">
        <v>0</v>
      </c>
      <c r="BA50" s="13"/>
      <c r="BB50" s="13"/>
      <c r="BC50" s="13">
        <v>-3337.666666666667</v>
      </c>
      <c r="BD50" s="13"/>
      <c r="BE50" s="13" t="s">
        <v>114</v>
      </c>
      <c r="BF50" s="29"/>
      <c r="BG50" s="13"/>
      <c r="BH50" s="13">
        <f>-FAR[[#This Row],[Carrying value (opening balance)]]/FAR[[#This Row],[Opening RUL 30 June 2026]]</f>
        <v>-196.33333333333303</v>
      </c>
      <c r="BI50" s="13">
        <f>FAR[[#This Row],[Depreciation YTD]]/12</f>
        <v>-16.361111111111086</v>
      </c>
      <c r="BJ50" s="13"/>
      <c r="BK50" s="13" t="s">
        <v>116</v>
      </c>
      <c r="BL50" s="13">
        <v>0</v>
      </c>
      <c r="BM50" s="13">
        <f>FAR[[#This Row],[Accumulated depreciation (Opening balance)]]+FAR[[#This Row],[Depreciation YTD]]+FAR[[#This Row],[Derecognitions (acc dep) '[+']]]</f>
        <v>-3534</v>
      </c>
      <c r="BN50" s="13"/>
      <c r="BO50" s="13"/>
      <c r="BP50" s="13"/>
      <c r="BQ50" s="13"/>
      <c r="BR5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0" s="13">
        <f>FAR[[#This Row],[Cost Price (closing balance)]]+FAR[[#This Row],[Accumulated depreciation (Closing balance)]]+FAR[[#This Row],[Accumulated impairments (Closing balance)]]</f>
        <v>0</v>
      </c>
      <c r="BT50" s="13"/>
      <c r="BU50" s="13"/>
      <c r="BV50" s="13"/>
      <c r="BW50" s="10" t="s">
        <v>167</v>
      </c>
      <c r="BX50" s="9" t="s">
        <v>168</v>
      </c>
      <c r="BY50" s="10"/>
      <c r="BZ50" t="s">
        <v>961</v>
      </c>
      <c r="CA50"/>
      <c r="CB50" s="34"/>
      <c r="CC50" s="34"/>
      <c r="CD50" s="34"/>
      <c r="CE50" s="141"/>
    </row>
    <row r="51" spans="1:83">
      <c r="A51" s="35" t="s">
        <v>222</v>
      </c>
      <c r="B51" s="9" t="s">
        <v>878</v>
      </c>
      <c r="C51" s="9" t="s">
        <v>54</v>
      </c>
      <c r="D51" s="10" t="s">
        <v>1</v>
      </c>
      <c r="E51" s="9" t="s">
        <v>115</v>
      </c>
      <c r="F51" s="36" t="s">
        <v>99</v>
      </c>
      <c r="G51" s="9" t="s">
        <v>100</v>
      </c>
      <c r="H51" s="3" t="s">
        <v>128</v>
      </c>
      <c r="I51" s="9" t="s">
        <v>100</v>
      </c>
      <c r="J51" s="36" t="s">
        <v>101</v>
      </c>
      <c r="K51" s="10" t="s">
        <v>559</v>
      </c>
      <c r="L51" s="10" t="s">
        <v>559</v>
      </c>
      <c r="M51" s="9" t="s">
        <v>100</v>
      </c>
      <c r="N51" s="10" t="s">
        <v>455</v>
      </c>
      <c r="O51" s="9" t="s">
        <v>100</v>
      </c>
      <c r="P51" s="10"/>
      <c r="Q51" s="10" t="s">
        <v>455</v>
      </c>
      <c r="R51" s="10" t="s">
        <v>119</v>
      </c>
      <c r="S51" s="10" t="s">
        <v>130</v>
      </c>
      <c r="T51" s="10" t="s">
        <v>120</v>
      </c>
      <c r="U51" s="10" t="s">
        <v>101</v>
      </c>
      <c r="V51" s="10" t="s">
        <v>121</v>
      </c>
      <c r="W51" s="10" t="s">
        <v>122</v>
      </c>
      <c r="X51" s="10" t="s">
        <v>123</v>
      </c>
      <c r="Y51" s="29">
        <v>1</v>
      </c>
      <c r="Z51" s="138" t="s">
        <v>564</v>
      </c>
      <c r="AA51" s="138">
        <v>38602</v>
      </c>
      <c r="AB51" s="9" t="s">
        <v>114</v>
      </c>
      <c r="AC51" s="9" t="s">
        <v>124</v>
      </c>
      <c r="AD51" s="15">
        <v>44651</v>
      </c>
      <c r="AE51" s="39" t="s">
        <v>125</v>
      </c>
      <c r="AF51" s="177">
        <v>6</v>
      </c>
      <c r="AG51" s="140">
        <v>0</v>
      </c>
      <c r="AH51" s="9">
        <v>0</v>
      </c>
      <c r="AI51" s="10" t="s">
        <v>126</v>
      </c>
      <c r="AJ51" s="10"/>
      <c r="AK51" s="29"/>
      <c r="AL51" s="12">
        <v>1</v>
      </c>
      <c r="AM51" s="10"/>
      <c r="AN51" s="12">
        <f>FAR[[#This Row],[Opening RUL]]+FAR[[#This Row],[RUL Adjustment]]</f>
        <v>1</v>
      </c>
      <c r="AO51" s="12">
        <f>FAR[[#This Row],[Opening RUL 30 June 2026]]-1</f>
        <v>0</v>
      </c>
      <c r="AP51" s="12" t="s">
        <v>1051</v>
      </c>
      <c r="AQ51" s="139"/>
      <c r="AR51" s="10" t="s">
        <v>127</v>
      </c>
      <c r="AS51" s="13">
        <v>3534</v>
      </c>
      <c r="AT51" s="13"/>
      <c r="AU51" s="13">
        <v>0</v>
      </c>
      <c r="AV51" s="13">
        <v>0</v>
      </c>
      <c r="AW51" s="13">
        <v>0</v>
      </c>
      <c r="AX51" s="13">
        <v>3534</v>
      </c>
      <c r="AY51" s="13">
        <v>196.33333333333303</v>
      </c>
      <c r="AZ51" s="13">
        <v>0</v>
      </c>
      <c r="BA51" s="13"/>
      <c r="BB51" s="13"/>
      <c r="BC51" s="13">
        <v>-3337.666666666667</v>
      </c>
      <c r="BD51" s="13"/>
      <c r="BE51" s="13" t="s">
        <v>114</v>
      </c>
      <c r="BF51" s="29"/>
      <c r="BG51" s="13"/>
      <c r="BH51" s="13">
        <f>-FAR[[#This Row],[Carrying value (opening balance)]]/FAR[[#This Row],[Opening RUL 30 June 2026]]</f>
        <v>-196.33333333333303</v>
      </c>
      <c r="BI51" s="13">
        <f>FAR[[#This Row],[Depreciation YTD]]/12</f>
        <v>-16.361111111111086</v>
      </c>
      <c r="BJ51" s="13"/>
      <c r="BK51" s="13" t="s">
        <v>116</v>
      </c>
      <c r="BL51" s="13">
        <v>0</v>
      </c>
      <c r="BM51" s="13">
        <f>FAR[[#This Row],[Accumulated depreciation (Opening balance)]]+FAR[[#This Row],[Depreciation YTD]]+FAR[[#This Row],[Derecognitions (acc dep) '[+']]]</f>
        <v>-3534</v>
      </c>
      <c r="BN51" s="13"/>
      <c r="BO51" s="13"/>
      <c r="BP51" s="13"/>
      <c r="BQ51" s="13"/>
      <c r="BR5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1" s="13">
        <f>FAR[[#This Row],[Cost Price (closing balance)]]+FAR[[#This Row],[Accumulated depreciation (Closing balance)]]+FAR[[#This Row],[Accumulated impairments (Closing balance)]]</f>
        <v>0</v>
      </c>
      <c r="BT51" s="13"/>
      <c r="BU51" s="13"/>
      <c r="BV51" s="13"/>
      <c r="BW51" s="10" t="s">
        <v>167</v>
      </c>
      <c r="BX51" s="9" t="s">
        <v>168</v>
      </c>
      <c r="BY51" s="10"/>
      <c r="BZ51" t="s">
        <v>962</v>
      </c>
      <c r="CA51"/>
      <c r="CB51" s="34"/>
      <c r="CC51" s="34"/>
      <c r="CD51" s="34"/>
      <c r="CE51" s="141"/>
    </row>
    <row r="52" spans="1:83">
      <c r="A52" s="35" t="s">
        <v>223</v>
      </c>
      <c r="B52" s="9" t="s">
        <v>875</v>
      </c>
      <c r="C52" s="9" t="s">
        <v>54</v>
      </c>
      <c r="D52" s="10" t="s">
        <v>1</v>
      </c>
      <c r="E52" s="9" t="s">
        <v>115</v>
      </c>
      <c r="F52" s="36" t="s">
        <v>99</v>
      </c>
      <c r="G52" s="9" t="s">
        <v>100</v>
      </c>
      <c r="H52" s="3" t="s">
        <v>128</v>
      </c>
      <c r="I52" s="9" t="s">
        <v>100</v>
      </c>
      <c r="J52" s="36" t="s">
        <v>101</v>
      </c>
      <c r="K52" s="10" t="s">
        <v>559</v>
      </c>
      <c r="L52" s="10" t="s">
        <v>559</v>
      </c>
      <c r="M52" s="9" t="s">
        <v>100</v>
      </c>
      <c r="N52" s="10" t="s">
        <v>456</v>
      </c>
      <c r="O52" s="9" t="s">
        <v>100</v>
      </c>
      <c r="P52" s="10"/>
      <c r="Q52" s="10" t="s">
        <v>456</v>
      </c>
      <c r="R52" s="10" t="s">
        <v>119</v>
      </c>
      <c r="S52" s="10" t="s">
        <v>130</v>
      </c>
      <c r="T52" s="10" t="s">
        <v>120</v>
      </c>
      <c r="U52" s="10" t="s">
        <v>101</v>
      </c>
      <c r="V52" s="10" t="s">
        <v>121</v>
      </c>
      <c r="W52" s="10" t="s">
        <v>122</v>
      </c>
      <c r="X52" s="10" t="s">
        <v>123</v>
      </c>
      <c r="Y52" s="29">
        <v>1</v>
      </c>
      <c r="Z52" s="138" t="s">
        <v>564</v>
      </c>
      <c r="AA52" s="138">
        <v>38602</v>
      </c>
      <c r="AB52" s="9" t="s">
        <v>114</v>
      </c>
      <c r="AC52" s="9" t="s">
        <v>124</v>
      </c>
      <c r="AD52" s="15">
        <v>44651</v>
      </c>
      <c r="AE52" s="39" t="s">
        <v>125</v>
      </c>
      <c r="AF52" s="177">
        <v>6</v>
      </c>
      <c r="AG52" s="140">
        <v>0</v>
      </c>
      <c r="AH52" s="9">
        <v>0</v>
      </c>
      <c r="AI52" s="10" t="s">
        <v>126</v>
      </c>
      <c r="AJ52" s="10"/>
      <c r="AK52" s="29"/>
      <c r="AL52" s="12">
        <v>1</v>
      </c>
      <c r="AM52" s="10"/>
      <c r="AN52" s="12">
        <f>FAR[[#This Row],[Opening RUL]]+FAR[[#This Row],[RUL Adjustment]]</f>
        <v>1</v>
      </c>
      <c r="AO52" s="12">
        <f>FAR[[#This Row],[Opening RUL 30 June 2026]]-1</f>
        <v>0</v>
      </c>
      <c r="AP52" s="12" t="s">
        <v>1050</v>
      </c>
      <c r="AQ52" s="139"/>
      <c r="AR52" s="10" t="s">
        <v>127</v>
      </c>
      <c r="AS52" s="13">
        <v>3534</v>
      </c>
      <c r="AT52" s="13"/>
      <c r="AU52" s="13">
        <v>0</v>
      </c>
      <c r="AV52" s="13">
        <v>0</v>
      </c>
      <c r="AW52" s="13">
        <v>0</v>
      </c>
      <c r="AX52" s="13">
        <v>3534</v>
      </c>
      <c r="AY52" s="13">
        <v>196.33333333333303</v>
      </c>
      <c r="AZ52" s="13">
        <v>0</v>
      </c>
      <c r="BA52" s="13"/>
      <c r="BB52" s="13"/>
      <c r="BC52" s="13">
        <v>-3337.666666666667</v>
      </c>
      <c r="BD52" s="13"/>
      <c r="BE52" s="13" t="s">
        <v>114</v>
      </c>
      <c r="BF52" s="29"/>
      <c r="BG52" s="13"/>
      <c r="BH52" s="13">
        <f>-FAR[[#This Row],[Carrying value (opening balance)]]/FAR[[#This Row],[Opening RUL 30 June 2026]]</f>
        <v>-196.33333333333303</v>
      </c>
      <c r="BI52" s="13">
        <f>FAR[[#This Row],[Depreciation YTD]]/12</f>
        <v>-16.361111111111086</v>
      </c>
      <c r="BJ52" s="13"/>
      <c r="BK52" s="13" t="s">
        <v>116</v>
      </c>
      <c r="BL52" s="13">
        <v>0</v>
      </c>
      <c r="BM52" s="13">
        <f>FAR[[#This Row],[Accumulated depreciation (Opening balance)]]+FAR[[#This Row],[Depreciation YTD]]+FAR[[#This Row],[Derecognitions (acc dep) '[+']]]</f>
        <v>-3534</v>
      </c>
      <c r="BN52" s="13"/>
      <c r="BO52" s="13"/>
      <c r="BP52" s="13"/>
      <c r="BQ52" s="13"/>
      <c r="BR5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2" s="13">
        <f>FAR[[#This Row],[Cost Price (closing balance)]]+FAR[[#This Row],[Accumulated depreciation (Closing balance)]]+FAR[[#This Row],[Accumulated impairments (Closing balance)]]</f>
        <v>0</v>
      </c>
      <c r="BT52" s="13"/>
      <c r="BU52" s="13"/>
      <c r="BV52" s="13"/>
      <c r="BW52" s="10" t="s">
        <v>167</v>
      </c>
      <c r="BX52" s="9" t="s">
        <v>168</v>
      </c>
      <c r="BY52" s="10"/>
      <c r="BZ52" t="s">
        <v>963</v>
      </c>
      <c r="CA52"/>
      <c r="CB52" s="34"/>
      <c r="CC52" s="34"/>
      <c r="CD52" s="34"/>
      <c r="CE52" s="141"/>
    </row>
    <row r="53" spans="1:83">
      <c r="A53" s="35" t="s">
        <v>224</v>
      </c>
      <c r="B53" s="9" t="s">
        <v>872</v>
      </c>
      <c r="C53" s="9" t="s">
        <v>54</v>
      </c>
      <c r="D53" s="10" t="s">
        <v>1</v>
      </c>
      <c r="E53" s="9" t="s">
        <v>115</v>
      </c>
      <c r="F53" s="36" t="s">
        <v>99</v>
      </c>
      <c r="G53" s="9" t="s">
        <v>100</v>
      </c>
      <c r="H53" s="3" t="s">
        <v>128</v>
      </c>
      <c r="I53" s="9" t="s">
        <v>100</v>
      </c>
      <c r="J53" s="36" t="s">
        <v>101</v>
      </c>
      <c r="K53" s="10" t="s">
        <v>559</v>
      </c>
      <c r="L53" s="10" t="s">
        <v>559</v>
      </c>
      <c r="M53" s="9" t="s">
        <v>100</v>
      </c>
      <c r="N53" s="10" t="s">
        <v>456</v>
      </c>
      <c r="O53" s="9" t="s">
        <v>100</v>
      </c>
      <c r="P53" s="10"/>
      <c r="Q53" s="10" t="s">
        <v>456</v>
      </c>
      <c r="R53" s="10" t="s">
        <v>119</v>
      </c>
      <c r="S53" s="10" t="s">
        <v>130</v>
      </c>
      <c r="T53" s="10" t="s">
        <v>120</v>
      </c>
      <c r="U53" s="10" t="s">
        <v>101</v>
      </c>
      <c r="V53" s="10" t="s">
        <v>121</v>
      </c>
      <c r="W53" s="10" t="s">
        <v>122</v>
      </c>
      <c r="X53" s="10" t="s">
        <v>123</v>
      </c>
      <c r="Y53" s="29">
        <v>1</v>
      </c>
      <c r="Z53" s="138" t="s">
        <v>564</v>
      </c>
      <c r="AA53" s="138">
        <v>38602</v>
      </c>
      <c r="AB53" s="9" t="s">
        <v>114</v>
      </c>
      <c r="AC53" s="9" t="s">
        <v>124</v>
      </c>
      <c r="AD53" s="15">
        <v>44651</v>
      </c>
      <c r="AE53" s="39" t="s">
        <v>125</v>
      </c>
      <c r="AF53" s="177">
        <v>6</v>
      </c>
      <c r="AG53" s="140">
        <v>0</v>
      </c>
      <c r="AH53" s="9">
        <v>0</v>
      </c>
      <c r="AI53" s="10" t="s">
        <v>126</v>
      </c>
      <c r="AJ53" s="10"/>
      <c r="AK53" s="29"/>
      <c r="AL53" s="12">
        <v>1</v>
      </c>
      <c r="AM53" s="10"/>
      <c r="AN53" s="12">
        <f>FAR[[#This Row],[Opening RUL]]+FAR[[#This Row],[RUL Adjustment]]</f>
        <v>1</v>
      </c>
      <c r="AO53" s="12">
        <f>FAR[[#This Row],[Opening RUL 30 June 2026]]-1</f>
        <v>0</v>
      </c>
      <c r="AP53" s="12" t="s">
        <v>1050</v>
      </c>
      <c r="AQ53" s="139"/>
      <c r="AR53" s="10" t="s">
        <v>127</v>
      </c>
      <c r="AS53" s="13">
        <v>3534</v>
      </c>
      <c r="AT53" s="13"/>
      <c r="AU53" s="13">
        <v>0</v>
      </c>
      <c r="AV53" s="13">
        <v>0</v>
      </c>
      <c r="AW53" s="13">
        <v>0</v>
      </c>
      <c r="AX53" s="13">
        <v>3534</v>
      </c>
      <c r="AY53" s="13">
        <v>196.33333333333303</v>
      </c>
      <c r="AZ53" s="13">
        <v>0</v>
      </c>
      <c r="BA53" s="13"/>
      <c r="BB53" s="13"/>
      <c r="BC53" s="13">
        <v>-3337.666666666667</v>
      </c>
      <c r="BD53" s="13"/>
      <c r="BE53" s="13" t="s">
        <v>114</v>
      </c>
      <c r="BF53" s="29"/>
      <c r="BG53" s="13"/>
      <c r="BH53" s="13">
        <f>-FAR[[#This Row],[Carrying value (opening balance)]]/FAR[[#This Row],[Opening RUL 30 June 2026]]</f>
        <v>-196.33333333333303</v>
      </c>
      <c r="BI53" s="13">
        <f>FAR[[#This Row],[Depreciation YTD]]/12</f>
        <v>-16.361111111111086</v>
      </c>
      <c r="BJ53" s="13"/>
      <c r="BK53" s="13" t="s">
        <v>116</v>
      </c>
      <c r="BL53" s="13">
        <v>0</v>
      </c>
      <c r="BM53" s="13">
        <f>FAR[[#This Row],[Accumulated depreciation (Opening balance)]]+FAR[[#This Row],[Depreciation YTD]]+FAR[[#This Row],[Derecognitions (acc dep) '[+']]]</f>
        <v>-3534</v>
      </c>
      <c r="BN53" s="13"/>
      <c r="BO53" s="13"/>
      <c r="BP53" s="13"/>
      <c r="BQ53" s="13"/>
      <c r="BR5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3" s="13">
        <f>FAR[[#This Row],[Cost Price (closing balance)]]+FAR[[#This Row],[Accumulated depreciation (Closing balance)]]+FAR[[#This Row],[Accumulated impairments (Closing balance)]]</f>
        <v>0</v>
      </c>
      <c r="BT53" s="13"/>
      <c r="BU53" s="13"/>
      <c r="BV53" s="13"/>
      <c r="BW53" s="10" t="s">
        <v>167</v>
      </c>
      <c r="BX53" s="9" t="s">
        <v>168</v>
      </c>
      <c r="BY53" s="10"/>
      <c r="BZ53" t="s">
        <v>956</v>
      </c>
      <c r="CA53"/>
      <c r="CB53" s="34"/>
      <c r="CC53" s="34"/>
      <c r="CD53" s="34"/>
      <c r="CE53" s="141"/>
    </row>
    <row r="54" spans="1:83">
      <c r="A54" s="35" t="s">
        <v>225</v>
      </c>
      <c r="B54" s="9" t="s">
        <v>879</v>
      </c>
      <c r="C54" s="9" t="s">
        <v>54</v>
      </c>
      <c r="D54" s="10" t="s">
        <v>1</v>
      </c>
      <c r="E54" s="9" t="s">
        <v>115</v>
      </c>
      <c r="F54" s="36" t="s">
        <v>99</v>
      </c>
      <c r="G54" s="9" t="s">
        <v>100</v>
      </c>
      <c r="H54" s="3" t="s">
        <v>128</v>
      </c>
      <c r="I54" s="9" t="s">
        <v>100</v>
      </c>
      <c r="J54" s="36" t="s">
        <v>101</v>
      </c>
      <c r="K54" s="10" t="s">
        <v>559</v>
      </c>
      <c r="L54" s="10" t="s">
        <v>559</v>
      </c>
      <c r="M54" s="9" t="s">
        <v>100</v>
      </c>
      <c r="N54" s="10" t="s">
        <v>456</v>
      </c>
      <c r="O54" s="9" t="s">
        <v>100</v>
      </c>
      <c r="P54" s="10"/>
      <c r="Q54" s="10" t="s">
        <v>456</v>
      </c>
      <c r="R54" s="10" t="s">
        <v>119</v>
      </c>
      <c r="S54" s="10" t="s">
        <v>130</v>
      </c>
      <c r="T54" s="10" t="s">
        <v>120</v>
      </c>
      <c r="U54" s="10" t="s">
        <v>101</v>
      </c>
      <c r="V54" s="10" t="s">
        <v>121</v>
      </c>
      <c r="W54" s="10" t="s">
        <v>122</v>
      </c>
      <c r="X54" s="10" t="s">
        <v>123</v>
      </c>
      <c r="Y54" s="29">
        <v>1</v>
      </c>
      <c r="Z54" s="138" t="s">
        <v>564</v>
      </c>
      <c r="AA54" s="138">
        <v>38602</v>
      </c>
      <c r="AB54" s="9" t="s">
        <v>114</v>
      </c>
      <c r="AC54" s="9" t="s">
        <v>124</v>
      </c>
      <c r="AD54" s="15">
        <v>44651</v>
      </c>
      <c r="AE54" s="39" t="s">
        <v>125</v>
      </c>
      <c r="AF54" s="177">
        <v>6</v>
      </c>
      <c r="AG54" s="140">
        <v>0</v>
      </c>
      <c r="AH54" s="9">
        <v>0</v>
      </c>
      <c r="AI54" s="10" t="s">
        <v>126</v>
      </c>
      <c r="AJ54" s="10"/>
      <c r="AK54" s="29"/>
      <c r="AL54" s="12">
        <v>1</v>
      </c>
      <c r="AM54" s="10"/>
      <c r="AN54" s="12">
        <f>FAR[[#This Row],[Opening RUL]]+FAR[[#This Row],[RUL Adjustment]]</f>
        <v>1</v>
      </c>
      <c r="AO54" s="12">
        <f>FAR[[#This Row],[Opening RUL 30 June 2026]]-1</f>
        <v>0</v>
      </c>
      <c r="AP54" s="12" t="s">
        <v>1051</v>
      </c>
      <c r="AQ54" s="139"/>
      <c r="AR54" s="10" t="s">
        <v>127</v>
      </c>
      <c r="AS54" s="13">
        <v>3534</v>
      </c>
      <c r="AT54" s="13"/>
      <c r="AU54" s="13">
        <v>0</v>
      </c>
      <c r="AV54" s="13">
        <v>0</v>
      </c>
      <c r="AW54" s="13">
        <v>0</v>
      </c>
      <c r="AX54" s="13">
        <v>3534</v>
      </c>
      <c r="AY54" s="13">
        <v>196.33333333333303</v>
      </c>
      <c r="AZ54" s="13">
        <v>0</v>
      </c>
      <c r="BA54" s="13"/>
      <c r="BB54" s="13"/>
      <c r="BC54" s="13">
        <v>-3337.666666666667</v>
      </c>
      <c r="BD54" s="13"/>
      <c r="BE54" s="13" t="s">
        <v>114</v>
      </c>
      <c r="BF54" s="29"/>
      <c r="BG54" s="13"/>
      <c r="BH54" s="13">
        <f>-FAR[[#This Row],[Carrying value (opening balance)]]/FAR[[#This Row],[Opening RUL 30 June 2026]]</f>
        <v>-196.33333333333303</v>
      </c>
      <c r="BI54" s="13">
        <f>FAR[[#This Row],[Depreciation YTD]]/12</f>
        <v>-16.361111111111086</v>
      </c>
      <c r="BJ54" s="13"/>
      <c r="BK54" s="13" t="s">
        <v>116</v>
      </c>
      <c r="BL54" s="13">
        <v>0</v>
      </c>
      <c r="BM54" s="13">
        <f>FAR[[#This Row],[Accumulated depreciation (Opening balance)]]+FAR[[#This Row],[Depreciation YTD]]+FAR[[#This Row],[Derecognitions (acc dep) '[+']]]</f>
        <v>-3534</v>
      </c>
      <c r="BN54" s="13"/>
      <c r="BO54" s="13"/>
      <c r="BP54" s="13"/>
      <c r="BQ54" s="13"/>
      <c r="BR5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4" s="13">
        <f>FAR[[#This Row],[Cost Price (closing balance)]]+FAR[[#This Row],[Accumulated depreciation (Closing balance)]]+FAR[[#This Row],[Accumulated impairments (Closing balance)]]</f>
        <v>0</v>
      </c>
      <c r="BT54" s="13"/>
      <c r="BU54" s="13"/>
      <c r="BV54" s="13"/>
      <c r="BW54" s="10" t="s">
        <v>167</v>
      </c>
      <c r="BX54" s="9" t="s">
        <v>168</v>
      </c>
      <c r="BY54" s="10"/>
      <c r="BZ54" t="s">
        <v>964</v>
      </c>
      <c r="CA54"/>
      <c r="CB54" s="34"/>
      <c r="CC54" s="34"/>
      <c r="CD54" s="34"/>
      <c r="CE54" s="141"/>
    </row>
    <row r="55" spans="1:83">
      <c r="A55" s="35" t="s">
        <v>226</v>
      </c>
      <c r="B55" s="9" t="s">
        <v>875</v>
      </c>
      <c r="C55" s="9" t="s">
        <v>54</v>
      </c>
      <c r="D55" s="10" t="s">
        <v>1</v>
      </c>
      <c r="E55" s="9" t="s">
        <v>115</v>
      </c>
      <c r="F55" s="36" t="s">
        <v>99</v>
      </c>
      <c r="G55" s="9" t="s">
        <v>100</v>
      </c>
      <c r="H55" s="3" t="s">
        <v>128</v>
      </c>
      <c r="I55" s="9" t="s">
        <v>100</v>
      </c>
      <c r="J55" s="36" t="s">
        <v>101</v>
      </c>
      <c r="K55" s="10" t="s">
        <v>559</v>
      </c>
      <c r="L55" s="10" t="s">
        <v>559</v>
      </c>
      <c r="M55" s="9" t="s">
        <v>100</v>
      </c>
      <c r="N55" s="10" t="s">
        <v>456</v>
      </c>
      <c r="O55" s="9" t="s">
        <v>100</v>
      </c>
      <c r="P55" s="10"/>
      <c r="Q55" s="10" t="s">
        <v>456</v>
      </c>
      <c r="R55" s="10" t="s">
        <v>119</v>
      </c>
      <c r="S55" s="10" t="s">
        <v>130</v>
      </c>
      <c r="T55" s="10" t="s">
        <v>120</v>
      </c>
      <c r="U55" s="10" t="s">
        <v>101</v>
      </c>
      <c r="V55" s="10" t="s">
        <v>121</v>
      </c>
      <c r="W55" s="10" t="s">
        <v>122</v>
      </c>
      <c r="X55" s="10" t="s">
        <v>123</v>
      </c>
      <c r="Y55" s="29">
        <v>1</v>
      </c>
      <c r="Z55" s="138" t="s">
        <v>564</v>
      </c>
      <c r="AA55" s="138">
        <v>38602</v>
      </c>
      <c r="AB55" s="9" t="s">
        <v>114</v>
      </c>
      <c r="AC55" s="9" t="s">
        <v>124</v>
      </c>
      <c r="AD55" s="15">
        <v>44651</v>
      </c>
      <c r="AE55" s="39" t="s">
        <v>125</v>
      </c>
      <c r="AF55" s="177">
        <v>6</v>
      </c>
      <c r="AG55" s="140">
        <v>0</v>
      </c>
      <c r="AH55" s="9">
        <v>0</v>
      </c>
      <c r="AI55" s="10" t="s">
        <v>126</v>
      </c>
      <c r="AJ55" s="10"/>
      <c r="AK55" s="29"/>
      <c r="AL55" s="12">
        <v>1</v>
      </c>
      <c r="AM55" s="10"/>
      <c r="AN55" s="12">
        <f>FAR[[#This Row],[Opening RUL]]+FAR[[#This Row],[RUL Adjustment]]</f>
        <v>1</v>
      </c>
      <c r="AO55" s="12">
        <f>FAR[[#This Row],[Opening RUL 30 June 2026]]-1</f>
        <v>0</v>
      </c>
      <c r="AP55" s="12" t="s">
        <v>1050</v>
      </c>
      <c r="AQ55" s="139"/>
      <c r="AR55" s="10" t="s">
        <v>127</v>
      </c>
      <c r="AS55" s="13">
        <v>3534</v>
      </c>
      <c r="AT55" s="13"/>
      <c r="AU55" s="13">
        <v>0</v>
      </c>
      <c r="AV55" s="13">
        <v>0</v>
      </c>
      <c r="AW55" s="13">
        <v>0</v>
      </c>
      <c r="AX55" s="13">
        <v>3534</v>
      </c>
      <c r="AY55" s="13">
        <v>196.33333333333303</v>
      </c>
      <c r="AZ55" s="13">
        <v>0</v>
      </c>
      <c r="BA55" s="13"/>
      <c r="BB55" s="13"/>
      <c r="BC55" s="13">
        <v>-3337.666666666667</v>
      </c>
      <c r="BD55" s="13"/>
      <c r="BE55" s="13" t="s">
        <v>114</v>
      </c>
      <c r="BF55" s="29"/>
      <c r="BG55" s="13"/>
      <c r="BH55" s="13">
        <f>-FAR[[#This Row],[Carrying value (opening balance)]]/FAR[[#This Row],[Opening RUL 30 June 2026]]</f>
        <v>-196.33333333333303</v>
      </c>
      <c r="BI55" s="13">
        <f>FAR[[#This Row],[Depreciation YTD]]/12</f>
        <v>-16.361111111111086</v>
      </c>
      <c r="BJ55" s="13"/>
      <c r="BK55" s="13" t="s">
        <v>116</v>
      </c>
      <c r="BL55" s="13">
        <v>0</v>
      </c>
      <c r="BM55" s="13">
        <f>FAR[[#This Row],[Accumulated depreciation (Opening balance)]]+FAR[[#This Row],[Depreciation YTD]]+FAR[[#This Row],[Derecognitions (acc dep) '[+']]]</f>
        <v>-3534</v>
      </c>
      <c r="BN55" s="13"/>
      <c r="BO55" s="13"/>
      <c r="BP55" s="13"/>
      <c r="BQ55" s="13"/>
      <c r="BR5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5" s="13">
        <f>FAR[[#This Row],[Cost Price (closing balance)]]+FAR[[#This Row],[Accumulated depreciation (Closing balance)]]+FAR[[#This Row],[Accumulated impairments (Closing balance)]]</f>
        <v>0</v>
      </c>
      <c r="BT55" s="13"/>
      <c r="BU55" s="13"/>
      <c r="BV55" s="13"/>
      <c r="BW55" s="10" t="s">
        <v>167</v>
      </c>
      <c r="BX55" s="9" t="s">
        <v>168</v>
      </c>
      <c r="BY55" s="10"/>
      <c r="BZ55" t="s">
        <v>965</v>
      </c>
      <c r="CA55"/>
      <c r="CB55" s="34"/>
      <c r="CC55" s="34"/>
      <c r="CD55" s="34"/>
      <c r="CE55" s="141"/>
    </row>
    <row r="56" spans="1:83">
      <c r="A56" s="35" t="s">
        <v>227</v>
      </c>
      <c r="B56" s="9" t="s">
        <v>851</v>
      </c>
      <c r="C56" s="9" t="s">
        <v>54</v>
      </c>
      <c r="D56" s="10" t="s">
        <v>1</v>
      </c>
      <c r="E56" s="9" t="s">
        <v>115</v>
      </c>
      <c r="F56" s="36" t="s">
        <v>99</v>
      </c>
      <c r="G56" s="9" t="s">
        <v>100</v>
      </c>
      <c r="H56" s="3" t="s">
        <v>128</v>
      </c>
      <c r="I56" s="9" t="s">
        <v>100</v>
      </c>
      <c r="J56" s="36" t="s">
        <v>101</v>
      </c>
      <c r="K56" s="10" t="s">
        <v>559</v>
      </c>
      <c r="L56" s="10" t="s">
        <v>559</v>
      </c>
      <c r="M56" s="9" t="s">
        <v>100</v>
      </c>
      <c r="N56" s="10" t="s">
        <v>455</v>
      </c>
      <c r="O56" s="9" t="s">
        <v>100</v>
      </c>
      <c r="P56" s="10"/>
      <c r="Q56" s="10" t="s">
        <v>455</v>
      </c>
      <c r="R56" s="10" t="s">
        <v>119</v>
      </c>
      <c r="S56" s="10" t="s">
        <v>130</v>
      </c>
      <c r="T56" s="10" t="s">
        <v>120</v>
      </c>
      <c r="U56" s="10" t="s">
        <v>101</v>
      </c>
      <c r="V56" s="10" t="s">
        <v>121</v>
      </c>
      <c r="W56" s="10" t="s">
        <v>122</v>
      </c>
      <c r="X56" s="10" t="s">
        <v>123</v>
      </c>
      <c r="Y56" s="29">
        <v>1</v>
      </c>
      <c r="Z56" s="138" t="s">
        <v>564</v>
      </c>
      <c r="AA56" s="138">
        <v>38602</v>
      </c>
      <c r="AB56" s="9" t="s">
        <v>114</v>
      </c>
      <c r="AC56" s="9" t="s">
        <v>124</v>
      </c>
      <c r="AD56" s="15">
        <v>44651</v>
      </c>
      <c r="AE56" s="39" t="s">
        <v>125</v>
      </c>
      <c r="AF56" s="177">
        <v>6</v>
      </c>
      <c r="AG56" s="140">
        <v>0</v>
      </c>
      <c r="AH56" s="9">
        <v>0</v>
      </c>
      <c r="AI56" s="10" t="s">
        <v>126</v>
      </c>
      <c r="AJ56" s="10"/>
      <c r="AK56" s="29"/>
      <c r="AL56" s="12">
        <v>1</v>
      </c>
      <c r="AM56" s="10"/>
      <c r="AN56" s="12">
        <f>FAR[[#This Row],[Opening RUL]]+FAR[[#This Row],[RUL Adjustment]]</f>
        <v>1</v>
      </c>
      <c r="AO56" s="12">
        <f>FAR[[#This Row],[Opening RUL 30 June 2026]]-1</f>
        <v>0</v>
      </c>
      <c r="AP56" s="12" t="s">
        <v>1051</v>
      </c>
      <c r="AQ56" s="139"/>
      <c r="AR56" s="10" t="s">
        <v>127</v>
      </c>
      <c r="AS56" s="13">
        <v>3534</v>
      </c>
      <c r="AT56" s="13"/>
      <c r="AU56" s="13">
        <v>0</v>
      </c>
      <c r="AV56" s="13">
        <v>0</v>
      </c>
      <c r="AW56" s="13">
        <v>0</v>
      </c>
      <c r="AX56" s="13">
        <v>3534</v>
      </c>
      <c r="AY56" s="13">
        <v>196.33333333333303</v>
      </c>
      <c r="AZ56" s="13">
        <v>0</v>
      </c>
      <c r="BA56" s="13"/>
      <c r="BB56" s="13"/>
      <c r="BC56" s="13">
        <v>-3337.666666666667</v>
      </c>
      <c r="BD56" s="13"/>
      <c r="BE56" s="13" t="s">
        <v>114</v>
      </c>
      <c r="BF56" s="29"/>
      <c r="BG56" s="13"/>
      <c r="BH56" s="13">
        <f>-FAR[[#This Row],[Carrying value (opening balance)]]/FAR[[#This Row],[Opening RUL 30 June 2026]]</f>
        <v>-196.33333333333303</v>
      </c>
      <c r="BI56" s="13">
        <f>FAR[[#This Row],[Depreciation YTD]]/12</f>
        <v>-16.361111111111086</v>
      </c>
      <c r="BJ56" s="13"/>
      <c r="BK56" s="13" t="s">
        <v>116</v>
      </c>
      <c r="BL56" s="13">
        <v>0</v>
      </c>
      <c r="BM56" s="13">
        <f>FAR[[#This Row],[Accumulated depreciation (Opening balance)]]+FAR[[#This Row],[Depreciation YTD]]+FAR[[#This Row],[Derecognitions (acc dep) '[+']]]</f>
        <v>-3534</v>
      </c>
      <c r="BN56" s="13"/>
      <c r="BO56" s="13"/>
      <c r="BP56" s="13"/>
      <c r="BQ56" s="13"/>
      <c r="BR5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6" s="13">
        <f>FAR[[#This Row],[Cost Price (closing balance)]]+FAR[[#This Row],[Accumulated depreciation (Closing balance)]]+FAR[[#This Row],[Accumulated impairments (Closing balance)]]</f>
        <v>0</v>
      </c>
      <c r="BT56" s="13"/>
      <c r="BU56" s="13"/>
      <c r="BV56" s="13"/>
      <c r="BW56" s="10" t="s">
        <v>167</v>
      </c>
      <c r="BX56" s="9" t="s">
        <v>168</v>
      </c>
      <c r="BY56" s="10"/>
      <c r="BZ56" t="s">
        <v>966</v>
      </c>
      <c r="CA56"/>
      <c r="CB56" s="34"/>
      <c r="CC56" s="34"/>
      <c r="CD56" s="34"/>
      <c r="CE56" s="141"/>
    </row>
    <row r="57" spans="1:83">
      <c r="A57" s="35" t="s">
        <v>228</v>
      </c>
      <c r="B57" s="9" t="s">
        <v>851</v>
      </c>
      <c r="C57" s="9" t="s">
        <v>54</v>
      </c>
      <c r="D57" s="10" t="s">
        <v>1</v>
      </c>
      <c r="E57" s="9" t="s">
        <v>115</v>
      </c>
      <c r="F57" s="36" t="s">
        <v>99</v>
      </c>
      <c r="G57" s="9" t="s">
        <v>100</v>
      </c>
      <c r="H57" s="3" t="s">
        <v>128</v>
      </c>
      <c r="I57" s="9" t="s">
        <v>100</v>
      </c>
      <c r="J57" s="36" t="s">
        <v>101</v>
      </c>
      <c r="K57" s="10" t="s">
        <v>559</v>
      </c>
      <c r="L57" s="10" t="s">
        <v>559</v>
      </c>
      <c r="M57" s="9" t="s">
        <v>100</v>
      </c>
      <c r="N57" s="10" t="s">
        <v>455</v>
      </c>
      <c r="O57" s="9" t="s">
        <v>100</v>
      </c>
      <c r="P57" s="10"/>
      <c r="Q57" s="10" t="s">
        <v>455</v>
      </c>
      <c r="R57" s="10" t="s">
        <v>119</v>
      </c>
      <c r="S57" s="10" t="s">
        <v>130</v>
      </c>
      <c r="T57" s="10" t="s">
        <v>120</v>
      </c>
      <c r="U57" s="10" t="s">
        <v>101</v>
      </c>
      <c r="V57" s="10" t="s">
        <v>121</v>
      </c>
      <c r="W57" s="10" t="s">
        <v>122</v>
      </c>
      <c r="X57" s="10" t="s">
        <v>123</v>
      </c>
      <c r="Y57" s="29">
        <v>1</v>
      </c>
      <c r="Z57" s="138" t="s">
        <v>564</v>
      </c>
      <c r="AA57" s="138">
        <v>38602</v>
      </c>
      <c r="AB57" s="9" t="s">
        <v>114</v>
      </c>
      <c r="AC57" s="9" t="s">
        <v>124</v>
      </c>
      <c r="AD57" s="15">
        <v>44651</v>
      </c>
      <c r="AE57" s="39" t="s">
        <v>125</v>
      </c>
      <c r="AF57" s="177">
        <v>6</v>
      </c>
      <c r="AG57" s="140">
        <v>0</v>
      </c>
      <c r="AH57" s="9">
        <v>0</v>
      </c>
      <c r="AI57" s="10" t="s">
        <v>126</v>
      </c>
      <c r="AJ57" s="10"/>
      <c r="AK57" s="29"/>
      <c r="AL57" s="12">
        <v>1</v>
      </c>
      <c r="AM57" s="10"/>
      <c r="AN57" s="12">
        <f>FAR[[#This Row],[Opening RUL]]+FAR[[#This Row],[RUL Adjustment]]</f>
        <v>1</v>
      </c>
      <c r="AO57" s="12">
        <f>FAR[[#This Row],[Opening RUL 30 June 2026]]-1</f>
        <v>0</v>
      </c>
      <c r="AP57" s="12" t="s">
        <v>1050</v>
      </c>
      <c r="AQ57" s="139"/>
      <c r="AR57" s="10" t="s">
        <v>127</v>
      </c>
      <c r="AS57" s="13">
        <v>3534</v>
      </c>
      <c r="AT57" s="13"/>
      <c r="AU57" s="13">
        <v>0</v>
      </c>
      <c r="AV57" s="13">
        <v>0</v>
      </c>
      <c r="AW57" s="13">
        <v>0</v>
      </c>
      <c r="AX57" s="13">
        <v>3534</v>
      </c>
      <c r="AY57" s="13">
        <v>196.33333333333303</v>
      </c>
      <c r="AZ57" s="13">
        <v>0</v>
      </c>
      <c r="BA57" s="13"/>
      <c r="BB57" s="13"/>
      <c r="BC57" s="13">
        <v>-3337.666666666667</v>
      </c>
      <c r="BD57" s="13"/>
      <c r="BE57" s="13" t="s">
        <v>114</v>
      </c>
      <c r="BF57" s="29"/>
      <c r="BG57" s="13"/>
      <c r="BH57" s="13">
        <f>-FAR[[#This Row],[Carrying value (opening balance)]]/FAR[[#This Row],[Opening RUL 30 June 2026]]</f>
        <v>-196.33333333333303</v>
      </c>
      <c r="BI57" s="13">
        <f>FAR[[#This Row],[Depreciation YTD]]/12</f>
        <v>-16.361111111111086</v>
      </c>
      <c r="BJ57" s="13"/>
      <c r="BK57" s="13" t="s">
        <v>116</v>
      </c>
      <c r="BL57" s="13">
        <v>0</v>
      </c>
      <c r="BM57" s="13">
        <f>FAR[[#This Row],[Accumulated depreciation (Opening balance)]]+FAR[[#This Row],[Depreciation YTD]]+FAR[[#This Row],[Derecognitions (acc dep) '[+']]]</f>
        <v>-3534</v>
      </c>
      <c r="BN57" s="13"/>
      <c r="BO57" s="13"/>
      <c r="BP57" s="13"/>
      <c r="BQ57" s="13"/>
      <c r="BR5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7" s="13">
        <f>FAR[[#This Row],[Cost Price (closing balance)]]+FAR[[#This Row],[Accumulated depreciation (Closing balance)]]+FAR[[#This Row],[Accumulated impairments (Closing balance)]]</f>
        <v>0</v>
      </c>
      <c r="BT57" s="13"/>
      <c r="BU57" s="13"/>
      <c r="BV57" s="13"/>
      <c r="BW57" s="10" t="s">
        <v>167</v>
      </c>
      <c r="BX57" s="9" t="s">
        <v>168</v>
      </c>
      <c r="BY57" s="10"/>
      <c r="BZ57" t="s">
        <v>938</v>
      </c>
      <c r="CA57"/>
      <c r="CB57" s="34"/>
      <c r="CC57" s="34"/>
      <c r="CD57" s="34"/>
      <c r="CE57" s="141"/>
    </row>
    <row r="58" spans="1:83">
      <c r="A58" s="35" t="s">
        <v>229</v>
      </c>
      <c r="B58" s="9" t="s">
        <v>877</v>
      </c>
      <c r="C58" s="9" t="s">
        <v>54</v>
      </c>
      <c r="D58" s="10" t="s">
        <v>1</v>
      </c>
      <c r="E58" s="9" t="s">
        <v>115</v>
      </c>
      <c r="F58" s="36" t="s">
        <v>99</v>
      </c>
      <c r="G58" s="9" t="s">
        <v>100</v>
      </c>
      <c r="H58" s="3" t="s">
        <v>128</v>
      </c>
      <c r="I58" s="9" t="s">
        <v>100</v>
      </c>
      <c r="J58" s="36" t="s">
        <v>101</v>
      </c>
      <c r="K58" s="10" t="s">
        <v>559</v>
      </c>
      <c r="L58" s="10" t="s">
        <v>559</v>
      </c>
      <c r="M58" s="9" t="s">
        <v>100</v>
      </c>
      <c r="N58" s="10" t="s">
        <v>455</v>
      </c>
      <c r="O58" s="9" t="s">
        <v>100</v>
      </c>
      <c r="P58" s="10"/>
      <c r="Q58" s="10" t="s">
        <v>455</v>
      </c>
      <c r="R58" s="10" t="s">
        <v>119</v>
      </c>
      <c r="S58" s="10" t="s">
        <v>130</v>
      </c>
      <c r="T58" s="10" t="s">
        <v>120</v>
      </c>
      <c r="U58" s="10" t="s">
        <v>101</v>
      </c>
      <c r="V58" s="10" t="s">
        <v>121</v>
      </c>
      <c r="W58" s="10" t="s">
        <v>122</v>
      </c>
      <c r="X58" s="10" t="s">
        <v>123</v>
      </c>
      <c r="Y58" s="29">
        <v>1</v>
      </c>
      <c r="Z58" s="138" t="s">
        <v>564</v>
      </c>
      <c r="AA58" s="138">
        <v>38602</v>
      </c>
      <c r="AB58" s="9" t="s">
        <v>114</v>
      </c>
      <c r="AC58" s="9" t="s">
        <v>124</v>
      </c>
      <c r="AD58" s="15">
        <v>44651</v>
      </c>
      <c r="AE58" s="39" t="s">
        <v>125</v>
      </c>
      <c r="AF58" s="177">
        <v>6</v>
      </c>
      <c r="AG58" s="140">
        <v>0</v>
      </c>
      <c r="AH58" s="9">
        <v>0</v>
      </c>
      <c r="AI58" s="10" t="s">
        <v>126</v>
      </c>
      <c r="AJ58" s="10"/>
      <c r="AK58" s="29"/>
      <c r="AL58" s="12">
        <v>1</v>
      </c>
      <c r="AM58" s="10"/>
      <c r="AN58" s="12">
        <f>FAR[[#This Row],[Opening RUL]]+FAR[[#This Row],[RUL Adjustment]]</f>
        <v>1</v>
      </c>
      <c r="AO58" s="12">
        <f>FAR[[#This Row],[Opening RUL 30 June 2026]]-1</f>
        <v>0</v>
      </c>
      <c r="AP58" s="12" t="s">
        <v>1050</v>
      </c>
      <c r="AQ58" s="139"/>
      <c r="AR58" s="10" t="s">
        <v>127</v>
      </c>
      <c r="AS58" s="13">
        <v>3534</v>
      </c>
      <c r="AT58" s="13"/>
      <c r="AU58" s="13">
        <v>0</v>
      </c>
      <c r="AV58" s="13">
        <v>0</v>
      </c>
      <c r="AW58" s="13">
        <v>0</v>
      </c>
      <c r="AX58" s="13">
        <v>3534</v>
      </c>
      <c r="AY58" s="13">
        <v>196.33333333333303</v>
      </c>
      <c r="AZ58" s="13">
        <v>0</v>
      </c>
      <c r="BA58" s="13"/>
      <c r="BB58" s="13"/>
      <c r="BC58" s="13">
        <v>-3337.666666666667</v>
      </c>
      <c r="BD58" s="13"/>
      <c r="BE58" s="13" t="s">
        <v>114</v>
      </c>
      <c r="BF58" s="29"/>
      <c r="BG58" s="13"/>
      <c r="BH58" s="13">
        <f>-FAR[[#This Row],[Carrying value (opening balance)]]/FAR[[#This Row],[Opening RUL 30 June 2026]]</f>
        <v>-196.33333333333303</v>
      </c>
      <c r="BI58" s="13">
        <f>FAR[[#This Row],[Depreciation YTD]]/12</f>
        <v>-16.361111111111086</v>
      </c>
      <c r="BJ58" s="13"/>
      <c r="BK58" s="13" t="s">
        <v>116</v>
      </c>
      <c r="BL58" s="13">
        <v>0</v>
      </c>
      <c r="BM58" s="13">
        <f>FAR[[#This Row],[Accumulated depreciation (Opening balance)]]+FAR[[#This Row],[Depreciation YTD]]+FAR[[#This Row],[Derecognitions (acc dep) '[+']]]</f>
        <v>-3534</v>
      </c>
      <c r="BN58" s="13"/>
      <c r="BO58" s="13"/>
      <c r="BP58" s="13"/>
      <c r="BQ58" s="13"/>
      <c r="BR5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8" s="13">
        <f>FAR[[#This Row],[Cost Price (closing balance)]]+FAR[[#This Row],[Accumulated depreciation (Closing balance)]]+FAR[[#This Row],[Accumulated impairments (Closing balance)]]</f>
        <v>0</v>
      </c>
      <c r="BT58" s="13"/>
      <c r="BU58" s="13"/>
      <c r="BV58" s="13"/>
      <c r="BW58" s="10" t="s">
        <v>167</v>
      </c>
      <c r="BX58" s="9" t="s">
        <v>168</v>
      </c>
      <c r="BY58" s="10"/>
      <c r="BZ58" t="s">
        <v>967</v>
      </c>
      <c r="CA58"/>
      <c r="CB58" s="34"/>
      <c r="CC58" s="34"/>
      <c r="CD58" s="34"/>
      <c r="CE58" s="141"/>
    </row>
    <row r="59" spans="1:83">
      <c r="A59" s="35" t="s">
        <v>230</v>
      </c>
      <c r="B59" s="9" t="s">
        <v>880</v>
      </c>
      <c r="C59" s="9" t="s">
        <v>54</v>
      </c>
      <c r="D59" s="10" t="s">
        <v>1</v>
      </c>
      <c r="E59" s="9" t="s">
        <v>115</v>
      </c>
      <c r="F59" s="36" t="s">
        <v>99</v>
      </c>
      <c r="G59" s="9" t="s">
        <v>100</v>
      </c>
      <c r="H59" s="3" t="s">
        <v>128</v>
      </c>
      <c r="I59" s="9" t="s">
        <v>100</v>
      </c>
      <c r="J59" s="36" t="s">
        <v>101</v>
      </c>
      <c r="K59" s="10" t="s">
        <v>559</v>
      </c>
      <c r="L59" s="10" t="s">
        <v>559</v>
      </c>
      <c r="M59" s="9" t="s">
        <v>100</v>
      </c>
      <c r="N59" s="10" t="s">
        <v>455</v>
      </c>
      <c r="O59" s="9" t="s">
        <v>100</v>
      </c>
      <c r="P59" s="10"/>
      <c r="Q59" s="10" t="s">
        <v>455</v>
      </c>
      <c r="R59" s="10" t="s">
        <v>119</v>
      </c>
      <c r="S59" s="10" t="s">
        <v>130</v>
      </c>
      <c r="T59" s="10" t="s">
        <v>120</v>
      </c>
      <c r="U59" s="10" t="s">
        <v>101</v>
      </c>
      <c r="V59" s="10" t="s">
        <v>121</v>
      </c>
      <c r="W59" s="10" t="s">
        <v>122</v>
      </c>
      <c r="X59" s="10" t="s">
        <v>123</v>
      </c>
      <c r="Y59" s="29">
        <v>1</v>
      </c>
      <c r="Z59" s="138" t="s">
        <v>564</v>
      </c>
      <c r="AA59" s="138">
        <v>38602</v>
      </c>
      <c r="AB59" s="9" t="s">
        <v>114</v>
      </c>
      <c r="AC59" s="9" t="s">
        <v>124</v>
      </c>
      <c r="AD59" s="15">
        <v>44651</v>
      </c>
      <c r="AE59" s="39" t="s">
        <v>125</v>
      </c>
      <c r="AF59" s="177">
        <v>6</v>
      </c>
      <c r="AG59" s="140">
        <v>0</v>
      </c>
      <c r="AH59" s="9">
        <v>0</v>
      </c>
      <c r="AI59" s="10" t="s">
        <v>126</v>
      </c>
      <c r="AJ59" s="10"/>
      <c r="AK59" s="29"/>
      <c r="AL59" s="12">
        <v>1</v>
      </c>
      <c r="AM59" s="10"/>
      <c r="AN59" s="12">
        <f>FAR[[#This Row],[Opening RUL]]+FAR[[#This Row],[RUL Adjustment]]</f>
        <v>1</v>
      </c>
      <c r="AO59" s="12">
        <f>FAR[[#This Row],[Opening RUL 30 June 2026]]-1</f>
        <v>0</v>
      </c>
      <c r="AP59" s="12" t="s">
        <v>1050</v>
      </c>
      <c r="AQ59" s="139"/>
      <c r="AR59" s="10" t="s">
        <v>127</v>
      </c>
      <c r="AS59" s="13">
        <v>3534</v>
      </c>
      <c r="AT59" s="13"/>
      <c r="AU59" s="13">
        <v>0</v>
      </c>
      <c r="AV59" s="13">
        <v>0</v>
      </c>
      <c r="AW59" s="13">
        <v>0</v>
      </c>
      <c r="AX59" s="13">
        <v>3534</v>
      </c>
      <c r="AY59" s="13">
        <v>196.33333333333303</v>
      </c>
      <c r="AZ59" s="13">
        <v>0</v>
      </c>
      <c r="BA59" s="13"/>
      <c r="BB59" s="13"/>
      <c r="BC59" s="13">
        <v>-3337.666666666667</v>
      </c>
      <c r="BD59" s="13"/>
      <c r="BE59" s="13" t="s">
        <v>114</v>
      </c>
      <c r="BF59" s="29"/>
      <c r="BG59" s="13"/>
      <c r="BH59" s="13">
        <f>-FAR[[#This Row],[Carrying value (opening balance)]]/FAR[[#This Row],[Opening RUL 30 June 2026]]</f>
        <v>-196.33333333333303</v>
      </c>
      <c r="BI59" s="13">
        <f>FAR[[#This Row],[Depreciation YTD]]/12</f>
        <v>-16.361111111111086</v>
      </c>
      <c r="BJ59" s="13"/>
      <c r="BK59" s="13" t="s">
        <v>116</v>
      </c>
      <c r="BL59" s="13">
        <v>0</v>
      </c>
      <c r="BM59" s="13">
        <f>FAR[[#This Row],[Accumulated depreciation (Opening balance)]]+FAR[[#This Row],[Depreciation YTD]]+FAR[[#This Row],[Derecognitions (acc dep) '[+']]]</f>
        <v>-3534</v>
      </c>
      <c r="BN59" s="13"/>
      <c r="BO59" s="13"/>
      <c r="BP59" s="13"/>
      <c r="BQ59" s="13"/>
      <c r="BR5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9" s="13">
        <f>FAR[[#This Row],[Cost Price (closing balance)]]+FAR[[#This Row],[Accumulated depreciation (Closing balance)]]+FAR[[#This Row],[Accumulated impairments (Closing balance)]]</f>
        <v>0</v>
      </c>
      <c r="BT59" s="13"/>
      <c r="BU59" s="13"/>
      <c r="BV59" s="13"/>
      <c r="BW59" s="10" t="s">
        <v>167</v>
      </c>
      <c r="BX59" s="9" t="s">
        <v>168</v>
      </c>
      <c r="BY59" s="10"/>
      <c r="BZ59" t="s">
        <v>968</v>
      </c>
      <c r="CA59"/>
      <c r="CB59" s="34"/>
      <c r="CC59" s="34"/>
      <c r="CD59" s="34"/>
      <c r="CE59" s="141"/>
    </row>
    <row r="60" spans="1:83">
      <c r="A60" s="35" t="s">
        <v>231</v>
      </c>
      <c r="B60" s="9" t="s">
        <v>877</v>
      </c>
      <c r="C60" s="9" t="s">
        <v>54</v>
      </c>
      <c r="D60" s="10" t="s">
        <v>1</v>
      </c>
      <c r="E60" s="9" t="s">
        <v>115</v>
      </c>
      <c r="F60" s="36" t="s">
        <v>99</v>
      </c>
      <c r="G60" s="9" t="s">
        <v>100</v>
      </c>
      <c r="H60" s="3" t="s">
        <v>128</v>
      </c>
      <c r="I60" s="9" t="s">
        <v>100</v>
      </c>
      <c r="J60" s="36" t="s">
        <v>101</v>
      </c>
      <c r="K60" s="10" t="s">
        <v>559</v>
      </c>
      <c r="L60" s="10" t="s">
        <v>559</v>
      </c>
      <c r="M60" s="9" t="s">
        <v>100</v>
      </c>
      <c r="N60" s="10" t="s">
        <v>455</v>
      </c>
      <c r="O60" s="9" t="s">
        <v>100</v>
      </c>
      <c r="P60" s="10"/>
      <c r="Q60" s="10" t="s">
        <v>455</v>
      </c>
      <c r="R60" s="10" t="s">
        <v>119</v>
      </c>
      <c r="S60" s="10" t="s">
        <v>130</v>
      </c>
      <c r="T60" s="10" t="s">
        <v>120</v>
      </c>
      <c r="U60" s="10" t="s">
        <v>101</v>
      </c>
      <c r="V60" s="10" t="s">
        <v>121</v>
      </c>
      <c r="W60" s="10" t="s">
        <v>122</v>
      </c>
      <c r="X60" s="10" t="s">
        <v>123</v>
      </c>
      <c r="Y60" s="29">
        <v>1</v>
      </c>
      <c r="Z60" s="138" t="s">
        <v>564</v>
      </c>
      <c r="AA60" s="138">
        <v>38602</v>
      </c>
      <c r="AB60" s="9" t="s">
        <v>114</v>
      </c>
      <c r="AC60" s="9" t="s">
        <v>124</v>
      </c>
      <c r="AD60" s="15">
        <v>44651</v>
      </c>
      <c r="AE60" s="39" t="s">
        <v>125</v>
      </c>
      <c r="AF60" s="177">
        <v>6</v>
      </c>
      <c r="AG60" s="140">
        <v>0</v>
      </c>
      <c r="AH60" s="9">
        <v>0</v>
      </c>
      <c r="AI60" s="10" t="s">
        <v>126</v>
      </c>
      <c r="AJ60" s="10"/>
      <c r="AK60" s="29"/>
      <c r="AL60" s="12">
        <v>1</v>
      </c>
      <c r="AM60" s="10"/>
      <c r="AN60" s="12">
        <f>FAR[[#This Row],[Opening RUL]]+FAR[[#This Row],[RUL Adjustment]]</f>
        <v>1</v>
      </c>
      <c r="AO60" s="12">
        <f>FAR[[#This Row],[Opening RUL 30 June 2026]]-1</f>
        <v>0</v>
      </c>
      <c r="AP60" s="12" t="s">
        <v>1050</v>
      </c>
      <c r="AQ60" s="139"/>
      <c r="AR60" s="10" t="s">
        <v>127</v>
      </c>
      <c r="AS60" s="13">
        <v>3534</v>
      </c>
      <c r="AT60" s="13"/>
      <c r="AU60" s="13">
        <v>0</v>
      </c>
      <c r="AV60" s="13">
        <v>0</v>
      </c>
      <c r="AW60" s="13">
        <v>0</v>
      </c>
      <c r="AX60" s="13">
        <v>3534</v>
      </c>
      <c r="AY60" s="13">
        <v>196.33333333333303</v>
      </c>
      <c r="AZ60" s="13">
        <v>0</v>
      </c>
      <c r="BA60" s="13"/>
      <c r="BB60" s="13"/>
      <c r="BC60" s="13">
        <v>-3337.666666666667</v>
      </c>
      <c r="BD60" s="13"/>
      <c r="BE60" s="13" t="s">
        <v>114</v>
      </c>
      <c r="BF60" s="29"/>
      <c r="BG60" s="13"/>
      <c r="BH60" s="13">
        <f>-FAR[[#This Row],[Carrying value (opening balance)]]/FAR[[#This Row],[Opening RUL 30 June 2026]]</f>
        <v>-196.33333333333303</v>
      </c>
      <c r="BI60" s="13">
        <f>FAR[[#This Row],[Depreciation YTD]]/12</f>
        <v>-16.361111111111086</v>
      </c>
      <c r="BJ60" s="13"/>
      <c r="BK60" s="13" t="s">
        <v>116</v>
      </c>
      <c r="BL60" s="13">
        <v>0</v>
      </c>
      <c r="BM60" s="13">
        <f>FAR[[#This Row],[Accumulated depreciation (Opening balance)]]+FAR[[#This Row],[Depreciation YTD]]+FAR[[#This Row],[Derecognitions (acc dep) '[+']]]</f>
        <v>-3534</v>
      </c>
      <c r="BN60" s="13"/>
      <c r="BO60" s="13"/>
      <c r="BP60" s="13"/>
      <c r="BQ60" s="13"/>
      <c r="BR6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60" s="13">
        <f>FAR[[#This Row],[Cost Price (closing balance)]]+FAR[[#This Row],[Accumulated depreciation (Closing balance)]]+FAR[[#This Row],[Accumulated impairments (Closing balance)]]</f>
        <v>0</v>
      </c>
      <c r="BT60" s="13"/>
      <c r="BU60" s="13"/>
      <c r="BV60" s="13"/>
      <c r="BW60" s="10" t="s">
        <v>167</v>
      </c>
      <c r="BX60" s="9" t="s">
        <v>168</v>
      </c>
      <c r="BY60" s="10"/>
      <c r="BZ60" t="s">
        <v>969</v>
      </c>
      <c r="CA60"/>
      <c r="CB60" s="34"/>
      <c r="CC60" s="34"/>
      <c r="CD60" s="34"/>
      <c r="CE60" s="141"/>
    </row>
    <row r="61" spans="1:83">
      <c r="A61" s="35" t="s">
        <v>232</v>
      </c>
      <c r="B61" s="9" t="s">
        <v>859</v>
      </c>
      <c r="C61" s="9" t="s">
        <v>54</v>
      </c>
      <c r="D61" s="10" t="s">
        <v>1</v>
      </c>
      <c r="E61" s="9" t="s">
        <v>115</v>
      </c>
      <c r="F61" s="36" t="s">
        <v>99</v>
      </c>
      <c r="G61" s="9" t="s">
        <v>100</v>
      </c>
      <c r="H61" s="3" t="s">
        <v>128</v>
      </c>
      <c r="I61" s="9" t="s">
        <v>100</v>
      </c>
      <c r="J61" s="36" t="s">
        <v>101</v>
      </c>
      <c r="K61" s="10" t="s">
        <v>559</v>
      </c>
      <c r="L61" s="10" t="s">
        <v>559</v>
      </c>
      <c r="M61" s="9" t="s">
        <v>100</v>
      </c>
      <c r="N61" s="10" t="s">
        <v>456</v>
      </c>
      <c r="O61" s="9" t="s">
        <v>100</v>
      </c>
      <c r="P61" s="10"/>
      <c r="Q61" s="10" t="s">
        <v>456</v>
      </c>
      <c r="R61" s="10" t="s">
        <v>119</v>
      </c>
      <c r="S61" s="10" t="s">
        <v>130</v>
      </c>
      <c r="T61" s="10" t="s">
        <v>120</v>
      </c>
      <c r="U61" s="10" t="s">
        <v>101</v>
      </c>
      <c r="V61" s="10" t="s">
        <v>121</v>
      </c>
      <c r="W61" s="10" t="s">
        <v>122</v>
      </c>
      <c r="X61" s="10" t="s">
        <v>123</v>
      </c>
      <c r="Y61" s="29">
        <v>1</v>
      </c>
      <c r="Z61" s="138" t="s">
        <v>564</v>
      </c>
      <c r="AA61" s="138">
        <v>38602</v>
      </c>
      <c r="AB61" s="9" t="s">
        <v>114</v>
      </c>
      <c r="AC61" s="9" t="s">
        <v>124</v>
      </c>
      <c r="AD61" s="15">
        <v>44651</v>
      </c>
      <c r="AE61" s="39" t="s">
        <v>125</v>
      </c>
      <c r="AF61" s="177">
        <v>6</v>
      </c>
      <c r="AG61" s="140">
        <v>0</v>
      </c>
      <c r="AH61" s="9">
        <v>0</v>
      </c>
      <c r="AI61" s="10" t="s">
        <v>126</v>
      </c>
      <c r="AJ61" s="10"/>
      <c r="AK61" s="29"/>
      <c r="AL61" s="12">
        <v>1</v>
      </c>
      <c r="AM61" s="10"/>
      <c r="AN61" s="12">
        <f>FAR[[#This Row],[Opening RUL]]+FAR[[#This Row],[RUL Adjustment]]</f>
        <v>1</v>
      </c>
      <c r="AO61" s="12">
        <f>FAR[[#This Row],[Opening RUL 30 June 2026]]-1</f>
        <v>0</v>
      </c>
      <c r="AP61" s="12" t="s">
        <v>1050</v>
      </c>
      <c r="AQ61" s="139"/>
      <c r="AR61" s="10" t="s">
        <v>127</v>
      </c>
      <c r="AS61" s="13">
        <v>3534</v>
      </c>
      <c r="AT61" s="13"/>
      <c r="AU61" s="13">
        <v>0</v>
      </c>
      <c r="AV61" s="13">
        <v>0</v>
      </c>
      <c r="AW61" s="13">
        <v>0</v>
      </c>
      <c r="AX61" s="13">
        <v>3534</v>
      </c>
      <c r="AY61" s="13">
        <v>196.33333333333303</v>
      </c>
      <c r="AZ61" s="13">
        <v>0</v>
      </c>
      <c r="BA61" s="13"/>
      <c r="BB61" s="13"/>
      <c r="BC61" s="13">
        <v>-3337.666666666667</v>
      </c>
      <c r="BD61" s="13"/>
      <c r="BE61" s="13" t="s">
        <v>114</v>
      </c>
      <c r="BF61" s="29"/>
      <c r="BG61" s="13"/>
      <c r="BH61" s="13">
        <f>-FAR[[#This Row],[Carrying value (opening balance)]]/FAR[[#This Row],[Opening RUL 30 June 2026]]</f>
        <v>-196.33333333333303</v>
      </c>
      <c r="BI61" s="13">
        <f>FAR[[#This Row],[Depreciation YTD]]/12</f>
        <v>-16.361111111111086</v>
      </c>
      <c r="BJ61" s="13"/>
      <c r="BK61" s="13" t="s">
        <v>116</v>
      </c>
      <c r="BL61" s="13">
        <v>0</v>
      </c>
      <c r="BM61" s="13">
        <f>FAR[[#This Row],[Accumulated depreciation (Opening balance)]]+FAR[[#This Row],[Depreciation YTD]]+FAR[[#This Row],[Derecognitions (acc dep) '[+']]]</f>
        <v>-3534</v>
      </c>
      <c r="BN61" s="13"/>
      <c r="BO61" s="13"/>
      <c r="BP61" s="13"/>
      <c r="BQ61" s="13"/>
      <c r="BR6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61" s="13">
        <f>FAR[[#This Row],[Cost Price (closing balance)]]+FAR[[#This Row],[Accumulated depreciation (Closing balance)]]+FAR[[#This Row],[Accumulated impairments (Closing balance)]]</f>
        <v>0</v>
      </c>
      <c r="BT61" s="13"/>
      <c r="BU61" s="13"/>
      <c r="BV61" s="13"/>
      <c r="BW61" s="10" t="s">
        <v>167</v>
      </c>
      <c r="BX61" s="9" t="s">
        <v>168</v>
      </c>
      <c r="BY61" s="10"/>
      <c r="BZ61" t="s">
        <v>938</v>
      </c>
      <c r="CA61"/>
      <c r="CB61" s="34"/>
      <c r="CC61" s="34"/>
      <c r="CD61" s="34"/>
      <c r="CE61" s="141"/>
    </row>
    <row r="62" spans="1:83">
      <c r="A62" s="35" t="s">
        <v>233</v>
      </c>
      <c r="B62" s="9" t="s">
        <v>863</v>
      </c>
      <c r="C62" s="9" t="s">
        <v>54</v>
      </c>
      <c r="D62" s="10" t="s">
        <v>1</v>
      </c>
      <c r="E62" s="9" t="s">
        <v>115</v>
      </c>
      <c r="F62" s="36" t="s">
        <v>99</v>
      </c>
      <c r="G62" s="9" t="s">
        <v>100</v>
      </c>
      <c r="H62" s="3" t="s">
        <v>128</v>
      </c>
      <c r="I62" s="9" t="s">
        <v>100</v>
      </c>
      <c r="J62" s="36" t="s">
        <v>101</v>
      </c>
      <c r="K62" s="10" t="s">
        <v>559</v>
      </c>
      <c r="L62" s="10" t="s">
        <v>559</v>
      </c>
      <c r="M62" s="9" t="s">
        <v>100</v>
      </c>
      <c r="N62" s="10" t="s">
        <v>455</v>
      </c>
      <c r="O62" s="9" t="s">
        <v>100</v>
      </c>
      <c r="P62" s="10"/>
      <c r="Q62" s="10" t="s">
        <v>455</v>
      </c>
      <c r="R62" s="10" t="s">
        <v>119</v>
      </c>
      <c r="S62" s="10" t="s">
        <v>130</v>
      </c>
      <c r="T62" s="10" t="s">
        <v>120</v>
      </c>
      <c r="U62" s="10" t="s">
        <v>101</v>
      </c>
      <c r="V62" s="10" t="s">
        <v>121</v>
      </c>
      <c r="W62" s="10" t="s">
        <v>122</v>
      </c>
      <c r="X62" s="10" t="s">
        <v>123</v>
      </c>
      <c r="Y62" s="29">
        <v>1</v>
      </c>
      <c r="Z62" s="138" t="s">
        <v>564</v>
      </c>
      <c r="AA62" s="138">
        <v>38602</v>
      </c>
      <c r="AB62" s="9" t="s">
        <v>114</v>
      </c>
      <c r="AC62" s="9" t="s">
        <v>124</v>
      </c>
      <c r="AD62" s="15">
        <v>44651</v>
      </c>
      <c r="AE62" s="39" t="s">
        <v>125</v>
      </c>
      <c r="AF62" s="177">
        <v>6</v>
      </c>
      <c r="AG62" s="140">
        <v>0</v>
      </c>
      <c r="AH62" s="9">
        <v>0</v>
      </c>
      <c r="AI62" s="10" t="s">
        <v>126</v>
      </c>
      <c r="AJ62" s="10"/>
      <c r="AK62" s="29"/>
      <c r="AL62" s="12">
        <v>1</v>
      </c>
      <c r="AM62" s="10"/>
      <c r="AN62" s="12">
        <f>FAR[[#This Row],[Opening RUL]]+FAR[[#This Row],[RUL Adjustment]]</f>
        <v>1</v>
      </c>
      <c r="AO62" s="12">
        <f>FAR[[#This Row],[Opening RUL 30 June 2026]]-1</f>
        <v>0</v>
      </c>
      <c r="AP62" s="12" t="s">
        <v>1050</v>
      </c>
      <c r="AQ62" s="139"/>
      <c r="AR62" s="10" t="s">
        <v>127</v>
      </c>
      <c r="AS62" s="13">
        <v>3534</v>
      </c>
      <c r="AT62" s="13"/>
      <c r="AU62" s="13">
        <v>0</v>
      </c>
      <c r="AV62" s="13">
        <v>0</v>
      </c>
      <c r="AW62" s="13">
        <v>0</v>
      </c>
      <c r="AX62" s="13">
        <v>3534</v>
      </c>
      <c r="AY62" s="13">
        <v>196.33333333333303</v>
      </c>
      <c r="AZ62" s="13">
        <v>0</v>
      </c>
      <c r="BA62" s="13"/>
      <c r="BB62" s="13"/>
      <c r="BC62" s="13">
        <v>-3337.666666666667</v>
      </c>
      <c r="BD62" s="13"/>
      <c r="BE62" s="13" t="s">
        <v>114</v>
      </c>
      <c r="BF62" s="29"/>
      <c r="BG62" s="13"/>
      <c r="BH62" s="13">
        <f>-FAR[[#This Row],[Carrying value (opening balance)]]/FAR[[#This Row],[Opening RUL 30 June 2026]]</f>
        <v>-196.33333333333303</v>
      </c>
      <c r="BI62" s="13">
        <f>FAR[[#This Row],[Depreciation YTD]]/12</f>
        <v>-16.361111111111086</v>
      </c>
      <c r="BJ62" s="13"/>
      <c r="BK62" s="13" t="s">
        <v>116</v>
      </c>
      <c r="BL62" s="13">
        <v>0</v>
      </c>
      <c r="BM62" s="13">
        <f>FAR[[#This Row],[Accumulated depreciation (Opening balance)]]+FAR[[#This Row],[Depreciation YTD]]+FAR[[#This Row],[Derecognitions (acc dep) '[+']]]</f>
        <v>-3534</v>
      </c>
      <c r="BN62" s="13"/>
      <c r="BO62" s="13"/>
      <c r="BP62" s="13"/>
      <c r="BQ62" s="13"/>
      <c r="BR6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62" s="13">
        <f>FAR[[#This Row],[Cost Price (closing balance)]]+FAR[[#This Row],[Accumulated depreciation (Closing balance)]]+FAR[[#This Row],[Accumulated impairments (Closing balance)]]</f>
        <v>0</v>
      </c>
      <c r="BT62" s="13"/>
      <c r="BU62" s="13"/>
      <c r="BV62" s="13"/>
      <c r="BW62" s="10" t="s">
        <v>167</v>
      </c>
      <c r="BX62" s="9" t="s">
        <v>168</v>
      </c>
      <c r="BY62" s="10"/>
      <c r="BZ62" t="s">
        <v>947</v>
      </c>
      <c r="CA62"/>
      <c r="CB62" s="34"/>
      <c r="CC62" s="34"/>
      <c r="CD62" s="34"/>
      <c r="CE62" s="141"/>
    </row>
    <row r="63" spans="1:83">
      <c r="A63" s="35" t="s">
        <v>234</v>
      </c>
      <c r="B63" s="9" t="s">
        <v>859</v>
      </c>
      <c r="C63" s="9" t="s">
        <v>54</v>
      </c>
      <c r="D63" s="10" t="s">
        <v>1</v>
      </c>
      <c r="E63" s="9" t="s">
        <v>115</v>
      </c>
      <c r="F63" s="36" t="s">
        <v>99</v>
      </c>
      <c r="G63" s="9" t="s">
        <v>100</v>
      </c>
      <c r="H63" s="3" t="s">
        <v>128</v>
      </c>
      <c r="I63" s="9" t="s">
        <v>100</v>
      </c>
      <c r="J63" s="36" t="s">
        <v>101</v>
      </c>
      <c r="K63" s="10" t="s">
        <v>559</v>
      </c>
      <c r="L63" s="10" t="s">
        <v>559</v>
      </c>
      <c r="M63" s="9" t="s">
        <v>100</v>
      </c>
      <c r="N63" s="10" t="s">
        <v>457</v>
      </c>
      <c r="O63" s="9" t="s">
        <v>100</v>
      </c>
      <c r="P63" s="10"/>
      <c r="Q63" s="10" t="s">
        <v>457</v>
      </c>
      <c r="R63" s="10" t="s">
        <v>119</v>
      </c>
      <c r="S63" s="10" t="s">
        <v>130</v>
      </c>
      <c r="T63" s="10" t="s">
        <v>120</v>
      </c>
      <c r="U63" s="10" t="s">
        <v>101</v>
      </c>
      <c r="V63" s="10" t="s">
        <v>121</v>
      </c>
      <c r="W63" s="10" t="s">
        <v>122</v>
      </c>
      <c r="X63" s="10" t="s">
        <v>123</v>
      </c>
      <c r="Y63" s="29">
        <v>1</v>
      </c>
      <c r="Z63" s="138" t="s">
        <v>565</v>
      </c>
      <c r="AA63" s="138">
        <v>38608</v>
      </c>
      <c r="AB63" s="9" t="s">
        <v>114</v>
      </c>
      <c r="AC63" s="9" t="s">
        <v>124</v>
      </c>
      <c r="AD63" s="15">
        <v>44651</v>
      </c>
      <c r="AE63" s="39" t="s">
        <v>125</v>
      </c>
      <c r="AF63" s="177">
        <v>6</v>
      </c>
      <c r="AG63" s="140">
        <v>0</v>
      </c>
      <c r="AH63" s="9">
        <v>0</v>
      </c>
      <c r="AI63" s="10" t="s">
        <v>126</v>
      </c>
      <c r="AJ63" s="10"/>
      <c r="AK63" s="29"/>
      <c r="AL63" s="12">
        <v>1</v>
      </c>
      <c r="AM63" s="10"/>
      <c r="AN63" s="12">
        <f>FAR[[#This Row],[Opening RUL]]+FAR[[#This Row],[RUL Adjustment]]</f>
        <v>1</v>
      </c>
      <c r="AO63" s="12">
        <f>FAR[[#This Row],[Opening RUL 30 June 2026]]-1</f>
        <v>0</v>
      </c>
      <c r="AP63" s="12" t="s">
        <v>1050</v>
      </c>
      <c r="AQ63" s="139"/>
      <c r="AR63" s="10" t="s">
        <v>127</v>
      </c>
      <c r="AS63" s="13">
        <v>2394</v>
      </c>
      <c r="AT63" s="13"/>
      <c r="AU63" s="13">
        <v>0</v>
      </c>
      <c r="AV63" s="13">
        <v>0</v>
      </c>
      <c r="AW63" s="13">
        <v>0</v>
      </c>
      <c r="AX63" s="13">
        <v>2394</v>
      </c>
      <c r="AY63" s="13">
        <v>133</v>
      </c>
      <c r="AZ63" s="13">
        <v>0</v>
      </c>
      <c r="BA63" s="13"/>
      <c r="BB63" s="13"/>
      <c r="BC63" s="13">
        <v>-2261</v>
      </c>
      <c r="BD63" s="13"/>
      <c r="BE63" s="13" t="s">
        <v>114</v>
      </c>
      <c r="BF63" s="29"/>
      <c r="BG63" s="13"/>
      <c r="BH63" s="13">
        <f>-FAR[[#This Row],[Carrying value (opening balance)]]/FAR[[#This Row],[Opening RUL 30 June 2026]]</f>
        <v>-133</v>
      </c>
      <c r="BI63" s="13">
        <f>FAR[[#This Row],[Depreciation YTD]]/12</f>
        <v>-11.083333333333334</v>
      </c>
      <c r="BJ63" s="13"/>
      <c r="BK63" s="13" t="s">
        <v>116</v>
      </c>
      <c r="BL63" s="13">
        <v>0</v>
      </c>
      <c r="BM63" s="13">
        <f>FAR[[#This Row],[Accumulated depreciation (Opening balance)]]+FAR[[#This Row],[Depreciation YTD]]+FAR[[#This Row],[Derecognitions (acc dep) '[+']]]</f>
        <v>-2394</v>
      </c>
      <c r="BN63" s="13"/>
      <c r="BO63" s="13"/>
      <c r="BP63" s="13"/>
      <c r="BQ63" s="13"/>
      <c r="BR6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63" s="13">
        <f>FAR[[#This Row],[Cost Price (closing balance)]]+FAR[[#This Row],[Accumulated depreciation (Closing balance)]]+FAR[[#This Row],[Accumulated impairments (Closing balance)]]</f>
        <v>0</v>
      </c>
      <c r="BT63" s="13"/>
      <c r="BU63" s="13"/>
      <c r="BV63" s="13"/>
      <c r="BW63" s="10" t="s">
        <v>167</v>
      </c>
      <c r="BX63" s="9" t="s">
        <v>168</v>
      </c>
      <c r="BY63" s="10"/>
      <c r="BZ63" t="s">
        <v>944</v>
      </c>
      <c r="CA63"/>
      <c r="CB63" s="34"/>
      <c r="CC63" s="34"/>
      <c r="CD63" s="34"/>
      <c r="CE63" s="141"/>
    </row>
    <row r="64" spans="1:83">
      <c r="A64" s="35" t="s">
        <v>235</v>
      </c>
      <c r="B64" s="9" t="s">
        <v>881</v>
      </c>
      <c r="C64" s="9" t="s">
        <v>54</v>
      </c>
      <c r="D64" s="10" t="s">
        <v>1</v>
      </c>
      <c r="E64" s="9" t="s">
        <v>115</v>
      </c>
      <c r="F64" s="36" t="s">
        <v>99</v>
      </c>
      <c r="G64" s="9" t="s">
        <v>100</v>
      </c>
      <c r="H64" s="3" t="s">
        <v>128</v>
      </c>
      <c r="I64" s="9" t="s">
        <v>100</v>
      </c>
      <c r="J64" s="36" t="s">
        <v>101</v>
      </c>
      <c r="K64" s="10" t="s">
        <v>559</v>
      </c>
      <c r="L64" s="10" t="s">
        <v>559</v>
      </c>
      <c r="M64" s="9" t="s">
        <v>100</v>
      </c>
      <c r="N64" s="10" t="s">
        <v>458</v>
      </c>
      <c r="O64" s="9" t="s">
        <v>100</v>
      </c>
      <c r="P64" s="10"/>
      <c r="Q64" s="10" t="s">
        <v>458</v>
      </c>
      <c r="R64" s="10" t="s">
        <v>119</v>
      </c>
      <c r="S64" s="10" t="s">
        <v>130</v>
      </c>
      <c r="T64" s="10" t="s">
        <v>120</v>
      </c>
      <c r="U64" s="10" t="s">
        <v>101</v>
      </c>
      <c r="V64" s="10" t="s">
        <v>121</v>
      </c>
      <c r="W64" s="10" t="s">
        <v>122</v>
      </c>
      <c r="X64" s="10" t="s">
        <v>123</v>
      </c>
      <c r="Y64" s="29">
        <v>1</v>
      </c>
      <c r="Z64" s="138" t="s">
        <v>565</v>
      </c>
      <c r="AA64" s="138">
        <v>38608</v>
      </c>
      <c r="AB64" s="9" t="s">
        <v>114</v>
      </c>
      <c r="AC64" s="9" t="s">
        <v>124</v>
      </c>
      <c r="AD64" s="15">
        <v>44651</v>
      </c>
      <c r="AE64" s="39" t="s">
        <v>125</v>
      </c>
      <c r="AF64" s="177">
        <v>6</v>
      </c>
      <c r="AG64" s="140">
        <v>0</v>
      </c>
      <c r="AH64" s="9">
        <v>0</v>
      </c>
      <c r="AI64" s="10" t="s">
        <v>126</v>
      </c>
      <c r="AJ64" s="10"/>
      <c r="AK64" s="29"/>
      <c r="AL64" s="12">
        <v>1</v>
      </c>
      <c r="AM64" s="10"/>
      <c r="AN64" s="12">
        <f>FAR[[#This Row],[Opening RUL]]+FAR[[#This Row],[RUL Adjustment]]</f>
        <v>1</v>
      </c>
      <c r="AO64" s="12">
        <f>FAR[[#This Row],[Opening RUL 30 June 2026]]-1</f>
        <v>0</v>
      </c>
      <c r="AP64" s="12" t="s">
        <v>1050</v>
      </c>
      <c r="AQ64" s="139"/>
      <c r="AR64" s="10" t="s">
        <v>127</v>
      </c>
      <c r="AS64" s="13">
        <v>20520</v>
      </c>
      <c r="AT64" s="13"/>
      <c r="AU64" s="13">
        <v>0</v>
      </c>
      <c r="AV64" s="13">
        <v>0</v>
      </c>
      <c r="AW64" s="13">
        <v>0</v>
      </c>
      <c r="AX64" s="13">
        <v>20520</v>
      </c>
      <c r="AY64" s="13">
        <v>1140</v>
      </c>
      <c r="AZ64" s="13">
        <v>0</v>
      </c>
      <c r="BA64" s="13"/>
      <c r="BB64" s="13"/>
      <c r="BC64" s="13">
        <v>-19380</v>
      </c>
      <c r="BD64" s="13"/>
      <c r="BE64" s="13" t="s">
        <v>114</v>
      </c>
      <c r="BF64" s="29"/>
      <c r="BG64" s="13"/>
      <c r="BH64" s="13">
        <f>-FAR[[#This Row],[Carrying value (opening balance)]]/FAR[[#This Row],[Opening RUL 30 June 2026]]</f>
        <v>-1140</v>
      </c>
      <c r="BI64" s="13">
        <f>FAR[[#This Row],[Depreciation YTD]]/12</f>
        <v>-95</v>
      </c>
      <c r="BJ64" s="13"/>
      <c r="BK64" s="13" t="s">
        <v>116</v>
      </c>
      <c r="BL64" s="13">
        <v>0</v>
      </c>
      <c r="BM64" s="13">
        <f>FAR[[#This Row],[Accumulated depreciation (Opening balance)]]+FAR[[#This Row],[Depreciation YTD]]+FAR[[#This Row],[Derecognitions (acc dep) '[+']]]</f>
        <v>-20520</v>
      </c>
      <c r="BN64" s="13"/>
      <c r="BO64" s="13"/>
      <c r="BP64" s="13"/>
      <c r="BQ64" s="13"/>
      <c r="BR6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64" s="13">
        <f>FAR[[#This Row],[Cost Price (closing balance)]]+FAR[[#This Row],[Accumulated depreciation (Closing balance)]]+FAR[[#This Row],[Accumulated impairments (Closing balance)]]</f>
        <v>0</v>
      </c>
      <c r="BT64" s="13"/>
      <c r="BU64" s="13"/>
      <c r="BV64" s="13"/>
      <c r="BW64" s="10" t="s">
        <v>167</v>
      </c>
      <c r="BX64" s="9" t="s">
        <v>168</v>
      </c>
      <c r="BY64" s="10"/>
      <c r="BZ64" t="s">
        <v>940</v>
      </c>
      <c r="CA64"/>
      <c r="CB64" s="34"/>
      <c r="CC64" s="34"/>
      <c r="CD64" s="34"/>
      <c r="CE64" s="141"/>
    </row>
    <row r="65" spans="1:83">
      <c r="A65" s="35" t="s">
        <v>236</v>
      </c>
      <c r="B65" s="9" t="s">
        <v>859</v>
      </c>
      <c r="C65" s="9" t="s">
        <v>54</v>
      </c>
      <c r="D65" s="10" t="s">
        <v>1</v>
      </c>
      <c r="E65" s="9" t="s">
        <v>115</v>
      </c>
      <c r="F65" s="36" t="s">
        <v>99</v>
      </c>
      <c r="G65" s="9" t="s">
        <v>100</v>
      </c>
      <c r="H65" s="3" t="s">
        <v>128</v>
      </c>
      <c r="I65" s="9" t="s">
        <v>100</v>
      </c>
      <c r="J65" s="36" t="s">
        <v>101</v>
      </c>
      <c r="K65" s="10" t="s">
        <v>559</v>
      </c>
      <c r="L65" s="10" t="s">
        <v>559</v>
      </c>
      <c r="M65" s="9" t="s">
        <v>100</v>
      </c>
      <c r="N65" s="10" t="s">
        <v>459</v>
      </c>
      <c r="O65" s="9" t="s">
        <v>100</v>
      </c>
      <c r="P65" s="10"/>
      <c r="Q65" s="10" t="s">
        <v>459</v>
      </c>
      <c r="R65" s="10" t="s">
        <v>119</v>
      </c>
      <c r="S65" s="10" t="s">
        <v>130</v>
      </c>
      <c r="T65" s="10" t="s">
        <v>120</v>
      </c>
      <c r="U65" s="10" t="s">
        <v>101</v>
      </c>
      <c r="V65" s="10" t="s">
        <v>121</v>
      </c>
      <c r="W65" s="10" t="s">
        <v>122</v>
      </c>
      <c r="X65" s="10" t="s">
        <v>123</v>
      </c>
      <c r="Y65" s="29">
        <v>1</v>
      </c>
      <c r="Z65" s="138" t="s">
        <v>566</v>
      </c>
      <c r="AA65" s="138">
        <v>38611</v>
      </c>
      <c r="AB65" s="9" t="s">
        <v>114</v>
      </c>
      <c r="AC65" s="9" t="s">
        <v>124</v>
      </c>
      <c r="AD65" s="15">
        <v>44651</v>
      </c>
      <c r="AE65" s="39" t="s">
        <v>125</v>
      </c>
      <c r="AF65" s="177">
        <v>6</v>
      </c>
      <c r="AG65" s="140">
        <v>0</v>
      </c>
      <c r="AH65" s="9">
        <v>0</v>
      </c>
      <c r="AI65" s="10" t="s">
        <v>126</v>
      </c>
      <c r="AJ65" s="10"/>
      <c r="AK65" s="29"/>
      <c r="AL65" s="12">
        <v>1</v>
      </c>
      <c r="AM65" s="10"/>
      <c r="AN65" s="12">
        <f>FAR[[#This Row],[Opening RUL]]+FAR[[#This Row],[RUL Adjustment]]</f>
        <v>1</v>
      </c>
      <c r="AO65" s="12">
        <f>FAR[[#This Row],[Opening RUL 30 June 2026]]-1</f>
        <v>0</v>
      </c>
      <c r="AP65" s="12" t="s">
        <v>1050</v>
      </c>
      <c r="AQ65" s="139"/>
      <c r="AR65" s="10" t="s">
        <v>127</v>
      </c>
      <c r="AS65" s="13">
        <v>8208</v>
      </c>
      <c r="AT65" s="13"/>
      <c r="AU65" s="13">
        <v>0</v>
      </c>
      <c r="AV65" s="13">
        <v>0</v>
      </c>
      <c r="AW65" s="13">
        <v>0</v>
      </c>
      <c r="AX65" s="13">
        <v>8208</v>
      </c>
      <c r="AY65" s="13">
        <v>456</v>
      </c>
      <c r="AZ65" s="13">
        <v>0</v>
      </c>
      <c r="BA65" s="13"/>
      <c r="BB65" s="13"/>
      <c r="BC65" s="13">
        <v>-7752</v>
      </c>
      <c r="BD65" s="13"/>
      <c r="BE65" s="13" t="s">
        <v>114</v>
      </c>
      <c r="BF65" s="29"/>
      <c r="BG65" s="13"/>
      <c r="BH65" s="13">
        <f>-FAR[[#This Row],[Carrying value (opening balance)]]/FAR[[#This Row],[Opening RUL 30 June 2026]]</f>
        <v>-456</v>
      </c>
      <c r="BI65" s="13">
        <f>FAR[[#This Row],[Depreciation YTD]]/12</f>
        <v>-38</v>
      </c>
      <c r="BJ65" s="13"/>
      <c r="BK65" s="13" t="s">
        <v>116</v>
      </c>
      <c r="BL65" s="13">
        <v>0</v>
      </c>
      <c r="BM65" s="13">
        <f>FAR[[#This Row],[Accumulated depreciation (Opening balance)]]+FAR[[#This Row],[Depreciation YTD]]+FAR[[#This Row],[Derecognitions (acc dep) '[+']]]</f>
        <v>-8208</v>
      </c>
      <c r="BN65" s="13"/>
      <c r="BO65" s="13"/>
      <c r="BP65" s="13"/>
      <c r="BQ65" s="13"/>
      <c r="BR6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65" s="13">
        <f>FAR[[#This Row],[Cost Price (closing balance)]]+FAR[[#This Row],[Accumulated depreciation (Closing balance)]]+FAR[[#This Row],[Accumulated impairments (Closing balance)]]</f>
        <v>0</v>
      </c>
      <c r="BT65" s="13"/>
      <c r="BU65" s="13"/>
      <c r="BV65" s="13"/>
      <c r="BW65" s="10" t="s">
        <v>167</v>
      </c>
      <c r="BX65" s="9" t="s">
        <v>168</v>
      </c>
      <c r="BY65" s="10"/>
      <c r="BZ65" t="s">
        <v>938</v>
      </c>
      <c r="CA65"/>
      <c r="CB65" s="34"/>
      <c r="CC65" s="34"/>
      <c r="CD65" s="34"/>
      <c r="CE65" s="141"/>
    </row>
    <row r="66" spans="1:83">
      <c r="A66" s="35" t="s">
        <v>237</v>
      </c>
      <c r="B66" s="9" t="s">
        <v>865</v>
      </c>
      <c r="C66" s="9" t="s">
        <v>54</v>
      </c>
      <c r="D66" s="10" t="s">
        <v>1</v>
      </c>
      <c r="E66" s="9" t="s">
        <v>115</v>
      </c>
      <c r="F66" s="36" t="s">
        <v>99</v>
      </c>
      <c r="G66" s="9" t="s">
        <v>100</v>
      </c>
      <c r="H66" s="3" t="s">
        <v>128</v>
      </c>
      <c r="I66" s="9" t="s">
        <v>100</v>
      </c>
      <c r="J66" s="36" t="s">
        <v>101</v>
      </c>
      <c r="K66" s="10" t="s">
        <v>559</v>
      </c>
      <c r="L66" s="10" t="s">
        <v>559</v>
      </c>
      <c r="M66" s="9" t="s">
        <v>100</v>
      </c>
      <c r="N66" s="10" t="s">
        <v>460</v>
      </c>
      <c r="O66" s="9" t="s">
        <v>100</v>
      </c>
      <c r="P66" s="10"/>
      <c r="Q66" s="10" t="s">
        <v>460</v>
      </c>
      <c r="R66" s="10" t="s">
        <v>119</v>
      </c>
      <c r="S66" s="10" t="s">
        <v>130</v>
      </c>
      <c r="T66" s="10" t="s">
        <v>120</v>
      </c>
      <c r="U66" s="10" t="s">
        <v>101</v>
      </c>
      <c r="V66" s="10" t="s">
        <v>121</v>
      </c>
      <c r="W66" s="10" t="s">
        <v>122</v>
      </c>
      <c r="X66" s="10" t="s">
        <v>123</v>
      </c>
      <c r="Y66" s="29">
        <v>1</v>
      </c>
      <c r="Z66" s="138" t="s">
        <v>563</v>
      </c>
      <c r="AA66" s="138">
        <v>38609</v>
      </c>
      <c r="AB66" s="9" t="s">
        <v>114</v>
      </c>
      <c r="AC66" s="9" t="s">
        <v>124</v>
      </c>
      <c r="AD66" s="15">
        <v>44651</v>
      </c>
      <c r="AE66" s="39" t="s">
        <v>125</v>
      </c>
      <c r="AF66" s="177">
        <v>6</v>
      </c>
      <c r="AG66" s="140">
        <v>0</v>
      </c>
      <c r="AH66" s="9">
        <v>0</v>
      </c>
      <c r="AI66" s="10" t="s">
        <v>126</v>
      </c>
      <c r="AJ66" s="10"/>
      <c r="AK66" s="29"/>
      <c r="AL66" s="12">
        <v>1</v>
      </c>
      <c r="AM66" s="10"/>
      <c r="AN66" s="12">
        <f>FAR[[#This Row],[Opening RUL]]+FAR[[#This Row],[RUL Adjustment]]</f>
        <v>1</v>
      </c>
      <c r="AO66" s="12">
        <f>FAR[[#This Row],[Opening RUL 30 June 2026]]-1</f>
        <v>0</v>
      </c>
      <c r="AP66" s="12" t="s">
        <v>1050</v>
      </c>
      <c r="AQ66" s="139"/>
      <c r="AR66" s="10" t="s">
        <v>127</v>
      </c>
      <c r="AS66" s="13">
        <v>3990</v>
      </c>
      <c r="AT66" s="13"/>
      <c r="AU66" s="13">
        <v>0</v>
      </c>
      <c r="AV66" s="13">
        <v>0</v>
      </c>
      <c r="AW66" s="13">
        <v>0</v>
      </c>
      <c r="AX66" s="13">
        <v>3990</v>
      </c>
      <c r="AY66" s="13">
        <v>221.66666666666697</v>
      </c>
      <c r="AZ66" s="13">
        <v>0</v>
      </c>
      <c r="BA66" s="13"/>
      <c r="BB66" s="13"/>
      <c r="BC66" s="13">
        <v>-3768.333333333333</v>
      </c>
      <c r="BD66" s="13"/>
      <c r="BE66" s="13" t="s">
        <v>114</v>
      </c>
      <c r="BF66" s="29"/>
      <c r="BG66" s="13"/>
      <c r="BH66" s="13">
        <f>-FAR[[#This Row],[Carrying value (opening balance)]]/FAR[[#This Row],[Opening RUL 30 June 2026]]</f>
        <v>-221.66666666666697</v>
      </c>
      <c r="BI66" s="13">
        <f>FAR[[#This Row],[Depreciation YTD]]/12</f>
        <v>-18.472222222222246</v>
      </c>
      <c r="BJ66" s="13"/>
      <c r="BK66" s="13" t="s">
        <v>116</v>
      </c>
      <c r="BL66" s="13">
        <v>0</v>
      </c>
      <c r="BM66" s="13">
        <f>FAR[[#This Row],[Accumulated depreciation (Opening balance)]]+FAR[[#This Row],[Depreciation YTD]]+FAR[[#This Row],[Derecognitions (acc dep) '[+']]]</f>
        <v>-3990</v>
      </c>
      <c r="BN66" s="13"/>
      <c r="BO66" s="13"/>
      <c r="BP66" s="13"/>
      <c r="BQ66" s="13"/>
      <c r="BR6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66" s="13">
        <f>FAR[[#This Row],[Cost Price (closing balance)]]+FAR[[#This Row],[Accumulated depreciation (Closing balance)]]+FAR[[#This Row],[Accumulated impairments (Closing balance)]]</f>
        <v>0</v>
      </c>
      <c r="BT66" s="13"/>
      <c r="BU66" s="13"/>
      <c r="BV66" s="13"/>
      <c r="BW66" s="10" t="s">
        <v>167</v>
      </c>
      <c r="BX66" s="9" t="s">
        <v>168</v>
      </c>
      <c r="BY66" s="10"/>
      <c r="BZ66" t="s">
        <v>938</v>
      </c>
      <c r="CA66"/>
      <c r="CB66" s="34"/>
      <c r="CC66" s="34"/>
      <c r="CD66" s="34"/>
      <c r="CE66" s="141"/>
    </row>
    <row r="67" spans="1:83">
      <c r="A67" s="35" t="s">
        <v>238</v>
      </c>
      <c r="B67" s="9" t="s">
        <v>882</v>
      </c>
      <c r="C67" s="9" t="s">
        <v>54</v>
      </c>
      <c r="D67" s="10" t="s">
        <v>1</v>
      </c>
      <c r="E67" s="9" t="s">
        <v>115</v>
      </c>
      <c r="F67" s="36" t="s">
        <v>99</v>
      </c>
      <c r="G67" s="9" t="s">
        <v>100</v>
      </c>
      <c r="H67" s="3" t="s">
        <v>128</v>
      </c>
      <c r="I67" s="9" t="s">
        <v>100</v>
      </c>
      <c r="J67" s="36" t="s">
        <v>101</v>
      </c>
      <c r="K67" s="10" t="s">
        <v>559</v>
      </c>
      <c r="L67" s="10" t="s">
        <v>559</v>
      </c>
      <c r="M67" s="9" t="s">
        <v>100</v>
      </c>
      <c r="N67" s="10" t="s">
        <v>461</v>
      </c>
      <c r="O67" s="9" t="s">
        <v>100</v>
      </c>
      <c r="P67" s="10"/>
      <c r="Q67" s="10" t="s">
        <v>461</v>
      </c>
      <c r="R67" s="10" t="s">
        <v>119</v>
      </c>
      <c r="S67" s="10" t="s">
        <v>130</v>
      </c>
      <c r="T67" s="10" t="s">
        <v>120</v>
      </c>
      <c r="U67" s="10" t="s">
        <v>101</v>
      </c>
      <c r="V67" s="10" t="s">
        <v>121</v>
      </c>
      <c r="W67" s="10" t="s">
        <v>122</v>
      </c>
      <c r="X67" s="10" t="s">
        <v>123</v>
      </c>
      <c r="Y67" s="29">
        <v>1</v>
      </c>
      <c r="Z67" s="138" t="s">
        <v>566</v>
      </c>
      <c r="AA67" s="138">
        <v>38611</v>
      </c>
      <c r="AB67" s="9" t="s">
        <v>114</v>
      </c>
      <c r="AC67" s="9" t="s">
        <v>124</v>
      </c>
      <c r="AD67" s="15">
        <v>44651</v>
      </c>
      <c r="AE67" s="39" t="s">
        <v>125</v>
      </c>
      <c r="AF67" s="177">
        <v>6</v>
      </c>
      <c r="AG67" s="140">
        <v>0</v>
      </c>
      <c r="AH67" s="9">
        <v>0</v>
      </c>
      <c r="AI67" s="10" t="s">
        <v>126</v>
      </c>
      <c r="AJ67" s="10"/>
      <c r="AK67" s="29"/>
      <c r="AL67" s="12">
        <v>1</v>
      </c>
      <c r="AM67" s="10"/>
      <c r="AN67" s="12">
        <f>FAR[[#This Row],[Opening RUL]]+FAR[[#This Row],[RUL Adjustment]]</f>
        <v>1</v>
      </c>
      <c r="AO67" s="12">
        <f>FAR[[#This Row],[Opening RUL 30 June 2026]]-1</f>
        <v>0</v>
      </c>
      <c r="AP67" s="12" t="s">
        <v>1050</v>
      </c>
      <c r="AQ67" s="139"/>
      <c r="AR67" s="10" t="s">
        <v>127</v>
      </c>
      <c r="AS67" s="13">
        <v>1482</v>
      </c>
      <c r="AT67" s="13"/>
      <c r="AU67" s="13">
        <v>0</v>
      </c>
      <c r="AV67" s="13">
        <v>0</v>
      </c>
      <c r="AW67" s="13">
        <v>0</v>
      </c>
      <c r="AX67" s="13">
        <v>1482</v>
      </c>
      <c r="AY67" s="13">
        <v>82.333333333333485</v>
      </c>
      <c r="AZ67" s="13">
        <v>0</v>
      </c>
      <c r="BA67" s="13"/>
      <c r="BB67" s="13"/>
      <c r="BC67" s="13">
        <v>-1399.6666666666665</v>
      </c>
      <c r="BD67" s="13"/>
      <c r="BE67" s="13" t="s">
        <v>114</v>
      </c>
      <c r="BF67" s="29"/>
      <c r="BG67" s="13"/>
      <c r="BH67" s="13">
        <f>-FAR[[#This Row],[Carrying value (opening balance)]]/FAR[[#This Row],[Opening RUL 30 June 2026]]</f>
        <v>-82.333333333333485</v>
      </c>
      <c r="BI67" s="13">
        <f>FAR[[#This Row],[Depreciation YTD]]/12</f>
        <v>-6.861111111111124</v>
      </c>
      <c r="BJ67" s="13"/>
      <c r="BK67" s="13" t="s">
        <v>116</v>
      </c>
      <c r="BL67" s="13">
        <v>0</v>
      </c>
      <c r="BM67" s="13">
        <f>FAR[[#This Row],[Accumulated depreciation (Opening balance)]]+FAR[[#This Row],[Depreciation YTD]]+FAR[[#This Row],[Derecognitions (acc dep) '[+']]]</f>
        <v>-1482</v>
      </c>
      <c r="BN67" s="13"/>
      <c r="BO67" s="13"/>
      <c r="BP67" s="13"/>
      <c r="BQ67" s="13"/>
      <c r="BR6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67" s="13">
        <f>FAR[[#This Row],[Cost Price (closing balance)]]+FAR[[#This Row],[Accumulated depreciation (Closing balance)]]+FAR[[#This Row],[Accumulated impairments (Closing balance)]]</f>
        <v>0</v>
      </c>
      <c r="BT67" s="13"/>
      <c r="BU67" s="13"/>
      <c r="BV67" s="13"/>
      <c r="BW67" s="10" t="s">
        <v>167</v>
      </c>
      <c r="BX67" s="9" t="s">
        <v>168</v>
      </c>
      <c r="BY67" s="10"/>
      <c r="BZ67" t="s">
        <v>970</v>
      </c>
      <c r="CA67"/>
      <c r="CB67" s="34"/>
      <c r="CC67" s="34"/>
      <c r="CD67" s="34"/>
      <c r="CE67" s="141"/>
    </row>
    <row r="68" spans="1:83">
      <c r="A68" s="35" t="s">
        <v>239</v>
      </c>
      <c r="B68" s="9" t="s">
        <v>874</v>
      </c>
      <c r="C68" s="9" t="s">
        <v>54</v>
      </c>
      <c r="D68" s="10" t="s">
        <v>1</v>
      </c>
      <c r="E68" s="9" t="s">
        <v>115</v>
      </c>
      <c r="F68" s="36" t="s">
        <v>99</v>
      </c>
      <c r="G68" s="9" t="s">
        <v>100</v>
      </c>
      <c r="H68" s="3" t="s">
        <v>128</v>
      </c>
      <c r="I68" s="9" t="s">
        <v>100</v>
      </c>
      <c r="J68" s="36" t="s">
        <v>101</v>
      </c>
      <c r="K68" s="10" t="s">
        <v>559</v>
      </c>
      <c r="L68" s="10" t="s">
        <v>559</v>
      </c>
      <c r="M68" s="9" t="s">
        <v>100</v>
      </c>
      <c r="N68" s="10" t="s">
        <v>462</v>
      </c>
      <c r="O68" s="9" t="s">
        <v>100</v>
      </c>
      <c r="P68" s="10"/>
      <c r="Q68" s="10" t="s">
        <v>462</v>
      </c>
      <c r="R68" s="10" t="s">
        <v>119</v>
      </c>
      <c r="S68" s="10" t="s">
        <v>130</v>
      </c>
      <c r="T68" s="10" t="s">
        <v>120</v>
      </c>
      <c r="U68" s="10" t="s">
        <v>101</v>
      </c>
      <c r="V68" s="10" t="s">
        <v>121</v>
      </c>
      <c r="W68" s="10" t="s">
        <v>122</v>
      </c>
      <c r="X68" s="10" t="s">
        <v>123</v>
      </c>
      <c r="Y68" s="29">
        <v>1</v>
      </c>
      <c r="Z68" s="138" t="s">
        <v>565</v>
      </c>
      <c r="AA68" s="138">
        <v>38608</v>
      </c>
      <c r="AB68" s="9" t="s">
        <v>114</v>
      </c>
      <c r="AC68" s="9" t="s">
        <v>124</v>
      </c>
      <c r="AD68" s="15">
        <v>44651</v>
      </c>
      <c r="AE68" s="39" t="s">
        <v>125</v>
      </c>
      <c r="AF68" s="177">
        <v>6</v>
      </c>
      <c r="AG68" s="140">
        <v>0</v>
      </c>
      <c r="AH68" s="9">
        <v>0</v>
      </c>
      <c r="AI68" s="10" t="s">
        <v>126</v>
      </c>
      <c r="AJ68" s="10"/>
      <c r="AK68" s="29"/>
      <c r="AL68" s="12">
        <v>1</v>
      </c>
      <c r="AM68" s="10"/>
      <c r="AN68" s="12">
        <f>FAR[[#This Row],[Opening RUL]]+FAR[[#This Row],[RUL Adjustment]]</f>
        <v>1</v>
      </c>
      <c r="AO68" s="12">
        <f>FAR[[#This Row],[Opening RUL 30 June 2026]]-1</f>
        <v>0</v>
      </c>
      <c r="AP68" s="12" t="s">
        <v>1050</v>
      </c>
      <c r="AQ68" s="139"/>
      <c r="AR68" s="10" t="s">
        <v>127</v>
      </c>
      <c r="AS68" s="13">
        <v>1482</v>
      </c>
      <c r="AT68" s="13"/>
      <c r="AU68" s="13">
        <v>0</v>
      </c>
      <c r="AV68" s="13">
        <v>0</v>
      </c>
      <c r="AW68" s="13">
        <v>0</v>
      </c>
      <c r="AX68" s="13">
        <v>1482</v>
      </c>
      <c r="AY68" s="13">
        <v>82.333333333333485</v>
      </c>
      <c r="AZ68" s="13">
        <v>0</v>
      </c>
      <c r="BA68" s="13"/>
      <c r="BB68" s="13"/>
      <c r="BC68" s="13">
        <v>-1399.6666666666665</v>
      </c>
      <c r="BD68" s="13"/>
      <c r="BE68" s="13" t="s">
        <v>114</v>
      </c>
      <c r="BF68" s="29"/>
      <c r="BG68" s="13"/>
      <c r="BH68" s="13">
        <f>-FAR[[#This Row],[Carrying value (opening balance)]]/FAR[[#This Row],[Opening RUL 30 June 2026]]</f>
        <v>-82.333333333333485</v>
      </c>
      <c r="BI68" s="13">
        <f>FAR[[#This Row],[Depreciation YTD]]/12</f>
        <v>-6.861111111111124</v>
      </c>
      <c r="BJ68" s="13"/>
      <c r="BK68" s="13" t="s">
        <v>116</v>
      </c>
      <c r="BL68" s="13">
        <v>0</v>
      </c>
      <c r="BM68" s="13">
        <f>FAR[[#This Row],[Accumulated depreciation (Opening balance)]]+FAR[[#This Row],[Depreciation YTD]]+FAR[[#This Row],[Derecognitions (acc dep) '[+']]]</f>
        <v>-1482</v>
      </c>
      <c r="BN68" s="13"/>
      <c r="BO68" s="13"/>
      <c r="BP68" s="13"/>
      <c r="BQ68" s="13"/>
      <c r="BR6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68" s="13">
        <f>FAR[[#This Row],[Cost Price (closing balance)]]+FAR[[#This Row],[Accumulated depreciation (Closing balance)]]+FAR[[#This Row],[Accumulated impairments (Closing balance)]]</f>
        <v>0</v>
      </c>
      <c r="BT68" s="13"/>
      <c r="BU68" s="13"/>
      <c r="BV68" s="13"/>
      <c r="BW68" s="10" t="s">
        <v>167</v>
      </c>
      <c r="BX68" s="9" t="s">
        <v>168</v>
      </c>
      <c r="BY68" s="10"/>
      <c r="BZ68" t="s">
        <v>959</v>
      </c>
      <c r="CA68"/>
      <c r="CB68" s="34"/>
      <c r="CC68" s="34"/>
      <c r="CD68" s="34"/>
      <c r="CE68" s="141"/>
    </row>
    <row r="69" spans="1:83">
      <c r="A69" s="35" t="s">
        <v>240</v>
      </c>
      <c r="B69" s="9" t="s">
        <v>874</v>
      </c>
      <c r="C69" s="9" t="s">
        <v>54</v>
      </c>
      <c r="D69" s="10" t="s">
        <v>1</v>
      </c>
      <c r="E69" s="9" t="s">
        <v>115</v>
      </c>
      <c r="F69" s="36" t="s">
        <v>99</v>
      </c>
      <c r="G69" s="9" t="s">
        <v>100</v>
      </c>
      <c r="H69" s="3" t="s">
        <v>128</v>
      </c>
      <c r="I69" s="9" t="s">
        <v>100</v>
      </c>
      <c r="J69" s="36" t="s">
        <v>101</v>
      </c>
      <c r="K69" s="10" t="s">
        <v>559</v>
      </c>
      <c r="L69" s="10" t="s">
        <v>559</v>
      </c>
      <c r="M69" s="9" t="s">
        <v>100</v>
      </c>
      <c r="N69" s="10" t="s">
        <v>463</v>
      </c>
      <c r="O69" s="9" t="s">
        <v>100</v>
      </c>
      <c r="P69" s="10"/>
      <c r="Q69" s="10" t="s">
        <v>463</v>
      </c>
      <c r="R69" s="10" t="s">
        <v>119</v>
      </c>
      <c r="S69" s="10" t="s">
        <v>130</v>
      </c>
      <c r="T69" s="10" t="s">
        <v>120</v>
      </c>
      <c r="U69" s="10" t="s">
        <v>101</v>
      </c>
      <c r="V69" s="10" t="s">
        <v>121</v>
      </c>
      <c r="W69" s="10" t="s">
        <v>122</v>
      </c>
      <c r="X69" s="10" t="s">
        <v>123</v>
      </c>
      <c r="Y69" s="29">
        <v>1</v>
      </c>
      <c r="Z69" s="138" t="s">
        <v>565</v>
      </c>
      <c r="AA69" s="138">
        <v>38608</v>
      </c>
      <c r="AB69" s="9" t="s">
        <v>114</v>
      </c>
      <c r="AC69" s="9" t="s">
        <v>124</v>
      </c>
      <c r="AD69" s="15">
        <v>44651</v>
      </c>
      <c r="AE69" s="39" t="s">
        <v>125</v>
      </c>
      <c r="AF69" s="177">
        <v>6</v>
      </c>
      <c r="AG69" s="140">
        <v>0</v>
      </c>
      <c r="AH69" s="9">
        <v>0</v>
      </c>
      <c r="AI69" s="10" t="s">
        <v>126</v>
      </c>
      <c r="AJ69" s="10"/>
      <c r="AK69" s="29"/>
      <c r="AL69" s="12">
        <v>1</v>
      </c>
      <c r="AM69" s="10"/>
      <c r="AN69" s="12">
        <f>FAR[[#This Row],[Opening RUL]]+FAR[[#This Row],[RUL Adjustment]]</f>
        <v>1</v>
      </c>
      <c r="AO69" s="12">
        <f>FAR[[#This Row],[Opening RUL 30 June 2026]]-1</f>
        <v>0</v>
      </c>
      <c r="AP69" s="12" t="s">
        <v>1050</v>
      </c>
      <c r="AQ69" s="139"/>
      <c r="AR69" s="10" t="s">
        <v>127</v>
      </c>
      <c r="AS69" s="13">
        <v>1482</v>
      </c>
      <c r="AT69" s="13"/>
      <c r="AU69" s="13">
        <v>0</v>
      </c>
      <c r="AV69" s="13">
        <v>0</v>
      </c>
      <c r="AW69" s="13">
        <v>0</v>
      </c>
      <c r="AX69" s="13">
        <v>1482</v>
      </c>
      <c r="AY69" s="13">
        <v>82.333333333333485</v>
      </c>
      <c r="AZ69" s="13">
        <v>0</v>
      </c>
      <c r="BA69" s="13"/>
      <c r="BB69" s="13"/>
      <c r="BC69" s="13">
        <v>-1399.6666666666665</v>
      </c>
      <c r="BD69" s="13"/>
      <c r="BE69" s="13" t="s">
        <v>114</v>
      </c>
      <c r="BF69" s="29"/>
      <c r="BG69" s="13"/>
      <c r="BH69" s="13">
        <f>-FAR[[#This Row],[Carrying value (opening balance)]]/FAR[[#This Row],[Opening RUL 30 June 2026]]</f>
        <v>-82.333333333333485</v>
      </c>
      <c r="BI69" s="13">
        <f>FAR[[#This Row],[Depreciation YTD]]/12</f>
        <v>-6.861111111111124</v>
      </c>
      <c r="BJ69" s="13"/>
      <c r="BK69" s="13" t="s">
        <v>116</v>
      </c>
      <c r="BL69" s="13">
        <v>0</v>
      </c>
      <c r="BM69" s="13">
        <f>FAR[[#This Row],[Accumulated depreciation (Opening balance)]]+FAR[[#This Row],[Depreciation YTD]]+FAR[[#This Row],[Derecognitions (acc dep) '[+']]]</f>
        <v>-1482</v>
      </c>
      <c r="BN69" s="13"/>
      <c r="BO69" s="13"/>
      <c r="BP69" s="13"/>
      <c r="BQ69" s="13"/>
      <c r="BR6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69" s="13">
        <f>FAR[[#This Row],[Cost Price (closing balance)]]+FAR[[#This Row],[Accumulated depreciation (Closing balance)]]+FAR[[#This Row],[Accumulated impairments (Closing balance)]]</f>
        <v>0</v>
      </c>
      <c r="BT69" s="13"/>
      <c r="BU69" s="13"/>
      <c r="BV69" s="13"/>
      <c r="BW69" s="10" t="s">
        <v>167</v>
      </c>
      <c r="BX69" s="9" t="s">
        <v>168</v>
      </c>
      <c r="BY69" s="10"/>
      <c r="BZ69" t="s">
        <v>959</v>
      </c>
      <c r="CA69"/>
      <c r="CB69" s="34"/>
      <c r="CC69" s="34"/>
      <c r="CD69" s="34"/>
      <c r="CE69" s="141"/>
    </row>
    <row r="70" spans="1:83">
      <c r="A70" s="35" t="s">
        <v>241</v>
      </c>
      <c r="B70" s="9" t="s">
        <v>882</v>
      </c>
      <c r="C70" s="9" t="s">
        <v>54</v>
      </c>
      <c r="D70" s="10" t="s">
        <v>1</v>
      </c>
      <c r="E70" s="9" t="s">
        <v>115</v>
      </c>
      <c r="F70" s="36" t="s">
        <v>99</v>
      </c>
      <c r="G70" s="9" t="s">
        <v>100</v>
      </c>
      <c r="H70" s="3" t="s">
        <v>128</v>
      </c>
      <c r="I70" s="9" t="s">
        <v>100</v>
      </c>
      <c r="J70" s="36" t="s">
        <v>101</v>
      </c>
      <c r="K70" s="10" t="s">
        <v>559</v>
      </c>
      <c r="L70" s="10" t="s">
        <v>559</v>
      </c>
      <c r="M70" s="9" t="s">
        <v>100</v>
      </c>
      <c r="N70" s="10" t="s">
        <v>464</v>
      </c>
      <c r="O70" s="9" t="s">
        <v>100</v>
      </c>
      <c r="P70" s="10"/>
      <c r="Q70" s="10" t="s">
        <v>464</v>
      </c>
      <c r="R70" s="10" t="s">
        <v>119</v>
      </c>
      <c r="S70" s="10" t="s">
        <v>130</v>
      </c>
      <c r="T70" s="10" t="s">
        <v>120</v>
      </c>
      <c r="U70" s="10" t="s">
        <v>101</v>
      </c>
      <c r="V70" s="10" t="s">
        <v>121</v>
      </c>
      <c r="W70" s="10" t="s">
        <v>122</v>
      </c>
      <c r="X70" s="10" t="s">
        <v>123</v>
      </c>
      <c r="Y70" s="29">
        <v>1</v>
      </c>
      <c r="Z70" s="138" t="s">
        <v>565</v>
      </c>
      <c r="AA70" s="138">
        <v>38608</v>
      </c>
      <c r="AB70" s="9" t="s">
        <v>114</v>
      </c>
      <c r="AC70" s="9" t="s">
        <v>124</v>
      </c>
      <c r="AD70" s="15">
        <v>44651</v>
      </c>
      <c r="AE70" s="39" t="s">
        <v>125</v>
      </c>
      <c r="AF70" s="177">
        <v>6</v>
      </c>
      <c r="AG70" s="140">
        <v>0</v>
      </c>
      <c r="AH70" s="9">
        <v>0</v>
      </c>
      <c r="AI70" s="10" t="s">
        <v>126</v>
      </c>
      <c r="AJ70" s="10"/>
      <c r="AK70" s="29"/>
      <c r="AL70" s="12">
        <v>1</v>
      </c>
      <c r="AM70" s="10"/>
      <c r="AN70" s="12">
        <f>FAR[[#This Row],[Opening RUL]]+FAR[[#This Row],[RUL Adjustment]]</f>
        <v>1</v>
      </c>
      <c r="AO70" s="12">
        <f>FAR[[#This Row],[Opening RUL 30 June 2026]]-1</f>
        <v>0</v>
      </c>
      <c r="AP70" s="12" t="s">
        <v>1050</v>
      </c>
      <c r="AQ70" s="139"/>
      <c r="AR70" s="10" t="s">
        <v>127</v>
      </c>
      <c r="AS70" s="13">
        <v>1482</v>
      </c>
      <c r="AT70" s="13"/>
      <c r="AU70" s="13">
        <v>0</v>
      </c>
      <c r="AV70" s="13">
        <v>0</v>
      </c>
      <c r="AW70" s="13">
        <v>0</v>
      </c>
      <c r="AX70" s="13">
        <v>1482</v>
      </c>
      <c r="AY70" s="13">
        <v>82.333333333333485</v>
      </c>
      <c r="AZ70" s="13">
        <v>0</v>
      </c>
      <c r="BA70" s="13"/>
      <c r="BB70" s="13"/>
      <c r="BC70" s="13">
        <v>-1399.6666666666665</v>
      </c>
      <c r="BD70" s="13"/>
      <c r="BE70" s="13" t="s">
        <v>114</v>
      </c>
      <c r="BF70" s="29"/>
      <c r="BG70" s="13"/>
      <c r="BH70" s="13">
        <f>-FAR[[#This Row],[Carrying value (opening balance)]]/FAR[[#This Row],[Opening RUL 30 June 2026]]</f>
        <v>-82.333333333333485</v>
      </c>
      <c r="BI70" s="13">
        <f>FAR[[#This Row],[Depreciation YTD]]/12</f>
        <v>-6.861111111111124</v>
      </c>
      <c r="BJ70" s="13"/>
      <c r="BK70" s="13" t="s">
        <v>116</v>
      </c>
      <c r="BL70" s="13">
        <v>0</v>
      </c>
      <c r="BM70" s="13">
        <f>FAR[[#This Row],[Accumulated depreciation (Opening balance)]]+FAR[[#This Row],[Depreciation YTD]]+FAR[[#This Row],[Derecognitions (acc dep) '[+']]]</f>
        <v>-1482</v>
      </c>
      <c r="BN70" s="13"/>
      <c r="BO70" s="13"/>
      <c r="BP70" s="13"/>
      <c r="BQ70" s="13"/>
      <c r="BR7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70" s="13">
        <f>FAR[[#This Row],[Cost Price (closing balance)]]+FAR[[#This Row],[Accumulated depreciation (Closing balance)]]+FAR[[#This Row],[Accumulated impairments (Closing balance)]]</f>
        <v>0</v>
      </c>
      <c r="BT70" s="13"/>
      <c r="BU70" s="13"/>
      <c r="BV70" s="13"/>
      <c r="BW70" s="10" t="s">
        <v>167</v>
      </c>
      <c r="BX70" s="9" t="s">
        <v>168</v>
      </c>
      <c r="BY70" s="10"/>
      <c r="BZ70" t="s">
        <v>971</v>
      </c>
      <c r="CA70"/>
      <c r="CB70" s="34"/>
      <c r="CC70" s="34"/>
      <c r="CD70" s="34"/>
      <c r="CE70" s="141"/>
    </row>
    <row r="71" spans="1:83">
      <c r="A71" s="35" t="s">
        <v>242</v>
      </c>
      <c r="B71" s="9" t="s">
        <v>883</v>
      </c>
      <c r="C71" s="9" t="s">
        <v>54</v>
      </c>
      <c r="D71" s="10" t="s">
        <v>1</v>
      </c>
      <c r="E71" s="9" t="s">
        <v>115</v>
      </c>
      <c r="F71" s="36" t="s">
        <v>99</v>
      </c>
      <c r="G71" s="9" t="s">
        <v>100</v>
      </c>
      <c r="H71" s="3" t="s">
        <v>128</v>
      </c>
      <c r="I71" s="9" t="s">
        <v>100</v>
      </c>
      <c r="J71" s="36" t="s">
        <v>101</v>
      </c>
      <c r="K71" s="10" t="s">
        <v>559</v>
      </c>
      <c r="L71" s="10" t="s">
        <v>559</v>
      </c>
      <c r="M71" s="9" t="s">
        <v>100</v>
      </c>
      <c r="N71" s="10" t="s">
        <v>464</v>
      </c>
      <c r="O71" s="9" t="s">
        <v>100</v>
      </c>
      <c r="P71" s="10"/>
      <c r="Q71" s="10" t="s">
        <v>464</v>
      </c>
      <c r="R71" s="10" t="s">
        <v>119</v>
      </c>
      <c r="S71" s="10" t="s">
        <v>130</v>
      </c>
      <c r="T71" s="10" t="s">
        <v>120</v>
      </c>
      <c r="U71" s="10" t="s">
        <v>101</v>
      </c>
      <c r="V71" s="10" t="s">
        <v>121</v>
      </c>
      <c r="W71" s="10" t="s">
        <v>122</v>
      </c>
      <c r="X71" s="10" t="s">
        <v>123</v>
      </c>
      <c r="Y71" s="29">
        <v>1</v>
      </c>
      <c r="Z71" s="138" t="s">
        <v>565</v>
      </c>
      <c r="AA71" s="138">
        <v>38608</v>
      </c>
      <c r="AB71" s="9" t="s">
        <v>114</v>
      </c>
      <c r="AC71" s="9" t="s">
        <v>124</v>
      </c>
      <c r="AD71" s="15">
        <v>44651</v>
      </c>
      <c r="AE71" s="39" t="s">
        <v>125</v>
      </c>
      <c r="AF71" s="177">
        <v>6</v>
      </c>
      <c r="AG71" s="140">
        <v>0</v>
      </c>
      <c r="AH71" s="9">
        <v>0</v>
      </c>
      <c r="AI71" s="10" t="s">
        <v>126</v>
      </c>
      <c r="AJ71" s="10"/>
      <c r="AK71" s="29"/>
      <c r="AL71" s="12">
        <v>1</v>
      </c>
      <c r="AM71" s="10"/>
      <c r="AN71" s="12">
        <f>FAR[[#This Row],[Opening RUL]]+FAR[[#This Row],[RUL Adjustment]]</f>
        <v>1</v>
      </c>
      <c r="AO71" s="12">
        <f>FAR[[#This Row],[Opening RUL 30 June 2026]]-1</f>
        <v>0</v>
      </c>
      <c r="AP71" s="12" t="s">
        <v>1050</v>
      </c>
      <c r="AQ71" s="139"/>
      <c r="AR71" s="10" t="s">
        <v>127</v>
      </c>
      <c r="AS71" s="13">
        <v>1482</v>
      </c>
      <c r="AT71" s="13"/>
      <c r="AU71" s="13">
        <v>0</v>
      </c>
      <c r="AV71" s="13">
        <v>0</v>
      </c>
      <c r="AW71" s="13">
        <v>0</v>
      </c>
      <c r="AX71" s="13">
        <v>1482</v>
      </c>
      <c r="AY71" s="13">
        <v>82.333333333333485</v>
      </c>
      <c r="AZ71" s="13">
        <v>0</v>
      </c>
      <c r="BA71" s="13"/>
      <c r="BB71" s="13"/>
      <c r="BC71" s="13">
        <v>-1399.6666666666665</v>
      </c>
      <c r="BD71" s="13"/>
      <c r="BE71" s="13" t="s">
        <v>114</v>
      </c>
      <c r="BF71" s="29"/>
      <c r="BG71" s="13"/>
      <c r="BH71" s="13">
        <f>-FAR[[#This Row],[Carrying value (opening balance)]]/FAR[[#This Row],[Opening RUL 30 June 2026]]</f>
        <v>-82.333333333333485</v>
      </c>
      <c r="BI71" s="13">
        <f>FAR[[#This Row],[Depreciation YTD]]/12</f>
        <v>-6.861111111111124</v>
      </c>
      <c r="BJ71" s="13"/>
      <c r="BK71" s="13" t="s">
        <v>116</v>
      </c>
      <c r="BL71" s="13">
        <v>0</v>
      </c>
      <c r="BM71" s="13">
        <f>FAR[[#This Row],[Accumulated depreciation (Opening balance)]]+FAR[[#This Row],[Depreciation YTD]]+FAR[[#This Row],[Derecognitions (acc dep) '[+']]]</f>
        <v>-1482</v>
      </c>
      <c r="BN71" s="13"/>
      <c r="BO71" s="13"/>
      <c r="BP71" s="13"/>
      <c r="BQ71" s="13"/>
      <c r="BR7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71" s="13">
        <f>FAR[[#This Row],[Cost Price (closing balance)]]+FAR[[#This Row],[Accumulated depreciation (Closing balance)]]+FAR[[#This Row],[Accumulated impairments (Closing balance)]]</f>
        <v>0</v>
      </c>
      <c r="BT71" s="13"/>
      <c r="BU71" s="13"/>
      <c r="BV71" s="13"/>
      <c r="BW71" s="10" t="s">
        <v>167</v>
      </c>
      <c r="BX71" s="9" t="s">
        <v>168</v>
      </c>
      <c r="BY71" s="10"/>
      <c r="BZ71" t="s">
        <v>972</v>
      </c>
      <c r="CA71"/>
      <c r="CB71" s="34"/>
      <c r="CC71" s="34"/>
      <c r="CD71" s="34"/>
      <c r="CE71" s="141"/>
    </row>
    <row r="72" spans="1:83">
      <c r="A72" s="35" t="s">
        <v>243</v>
      </c>
      <c r="B72" s="9" t="s">
        <v>884</v>
      </c>
      <c r="C72" s="9" t="s">
        <v>54</v>
      </c>
      <c r="D72" s="10" t="s">
        <v>1</v>
      </c>
      <c r="E72" s="9" t="s">
        <v>115</v>
      </c>
      <c r="F72" s="36" t="s">
        <v>99</v>
      </c>
      <c r="G72" s="9" t="s">
        <v>100</v>
      </c>
      <c r="H72" s="3" t="s">
        <v>128</v>
      </c>
      <c r="I72" s="9" t="s">
        <v>100</v>
      </c>
      <c r="J72" s="36" t="s">
        <v>101</v>
      </c>
      <c r="K72" s="10" t="s">
        <v>559</v>
      </c>
      <c r="L72" s="10" t="s">
        <v>559</v>
      </c>
      <c r="M72" s="9" t="s">
        <v>100</v>
      </c>
      <c r="N72" s="10" t="s">
        <v>464</v>
      </c>
      <c r="O72" s="9" t="s">
        <v>100</v>
      </c>
      <c r="P72" s="10"/>
      <c r="Q72" s="10" t="s">
        <v>464</v>
      </c>
      <c r="R72" s="10" t="s">
        <v>119</v>
      </c>
      <c r="S72" s="10" t="s">
        <v>130</v>
      </c>
      <c r="T72" s="10" t="s">
        <v>120</v>
      </c>
      <c r="U72" s="10" t="s">
        <v>101</v>
      </c>
      <c r="V72" s="10" t="s">
        <v>121</v>
      </c>
      <c r="W72" s="10" t="s">
        <v>122</v>
      </c>
      <c r="X72" s="10" t="s">
        <v>123</v>
      </c>
      <c r="Y72" s="29">
        <v>1</v>
      </c>
      <c r="Z72" s="138" t="s">
        <v>565</v>
      </c>
      <c r="AA72" s="138">
        <v>38608</v>
      </c>
      <c r="AB72" s="9" t="s">
        <v>114</v>
      </c>
      <c r="AC72" s="9" t="s">
        <v>124</v>
      </c>
      <c r="AD72" s="15">
        <v>44651</v>
      </c>
      <c r="AE72" s="39" t="s">
        <v>125</v>
      </c>
      <c r="AF72" s="177">
        <v>6</v>
      </c>
      <c r="AG72" s="140">
        <v>0</v>
      </c>
      <c r="AH72" s="9">
        <v>0</v>
      </c>
      <c r="AI72" s="10" t="s">
        <v>126</v>
      </c>
      <c r="AJ72" s="10"/>
      <c r="AK72" s="29"/>
      <c r="AL72" s="12">
        <v>1</v>
      </c>
      <c r="AM72" s="10"/>
      <c r="AN72" s="12">
        <f>FAR[[#This Row],[Opening RUL]]+FAR[[#This Row],[RUL Adjustment]]</f>
        <v>1</v>
      </c>
      <c r="AO72" s="12">
        <f>FAR[[#This Row],[Opening RUL 30 June 2026]]-1</f>
        <v>0</v>
      </c>
      <c r="AP72" s="12" t="s">
        <v>1050</v>
      </c>
      <c r="AQ72" s="139"/>
      <c r="AR72" s="10" t="s">
        <v>127</v>
      </c>
      <c r="AS72" s="13">
        <v>1482</v>
      </c>
      <c r="AT72" s="13"/>
      <c r="AU72" s="13">
        <v>0</v>
      </c>
      <c r="AV72" s="13">
        <v>0</v>
      </c>
      <c r="AW72" s="13">
        <v>0</v>
      </c>
      <c r="AX72" s="13">
        <v>1482</v>
      </c>
      <c r="AY72" s="13">
        <v>82.333333333333485</v>
      </c>
      <c r="AZ72" s="13">
        <v>0</v>
      </c>
      <c r="BA72" s="13"/>
      <c r="BB72" s="13"/>
      <c r="BC72" s="13">
        <v>-1399.6666666666665</v>
      </c>
      <c r="BD72" s="13"/>
      <c r="BE72" s="13" t="s">
        <v>114</v>
      </c>
      <c r="BF72" s="29"/>
      <c r="BG72" s="13"/>
      <c r="BH72" s="13">
        <f>-FAR[[#This Row],[Carrying value (opening balance)]]/FAR[[#This Row],[Opening RUL 30 June 2026]]</f>
        <v>-82.333333333333485</v>
      </c>
      <c r="BI72" s="13">
        <f>FAR[[#This Row],[Depreciation YTD]]/12</f>
        <v>-6.861111111111124</v>
      </c>
      <c r="BJ72" s="13"/>
      <c r="BK72" s="13" t="s">
        <v>116</v>
      </c>
      <c r="BL72" s="13">
        <v>0</v>
      </c>
      <c r="BM72" s="13">
        <f>FAR[[#This Row],[Accumulated depreciation (Opening balance)]]+FAR[[#This Row],[Depreciation YTD]]+FAR[[#This Row],[Derecognitions (acc dep) '[+']]]</f>
        <v>-1482</v>
      </c>
      <c r="BN72" s="13"/>
      <c r="BO72" s="13"/>
      <c r="BP72" s="13"/>
      <c r="BQ72" s="13"/>
      <c r="BR7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72" s="13">
        <f>FAR[[#This Row],[Cost Price (closing balance)]]+FAR[[#This Row],[Accumulated depreciation (Closing balance)]]+FAR[[#This Row],[Accumulated impairments (Closing balance)]]</f>
        <v>0</v>
      </c>
      <c r="BT72" s="13"/>
      <c r="BU72" s="13"/>
      <c r="BV72" s="13"/>
      <c r="BW72" s="10" t="s">
        <v>167</v>
      </c>
      <c r="BX72" s="9" t="s">
        <v>168</v>
      </c>
      <c r="BY72" s="10"/>
      <c r="BZ72" t="s">
        <v>973</v>
      </c>
      <c r="CA72"/>
      <c r="CB72" s="34"/>
      <c r="CC72" s="34"/>
      <c r="CD72" s="34"/>
      <c r="CE72" s="141"/>
    </row>
    <row r="73" spans="1:83">
      <c r="A73" s="35" t="s">
        <v>244</v>
      </c>
      <c r="B73" s="9" t="s">
        <v>885</v>
      </c>
      <c r="C73" s="9" t="s">
        <v>54</v>
      </c>
      <c r="D73" s="10" t="s">
        <v>1</v>
      </c>
      <c r="E73" s="9" t="s">
        <v>115</v>
      </c>
      <c r="F73" s="36" t="s">
        <v>99</v>
      </c>
      <c r="G73" s="9" t="s">
        <v>100</v>
      </c>
      <c r="H73" s="3" t="s">
        <v>128</v>
      </c>
      <c r="I73" s="9" t="s">
        <v>100</v>
      </c>
      <c r="J73" s="36" t="s">
        <v>101</v>
      </c>
      <c r="K73" s="10" t="s">
        <v>559</v>
      </c>
      <c r="L73" s="10" t="s">
        <v>559</v>
      </c>
      <c r="M73" s="9" t="s">
        <v>100</v>
      </c>
      <c r="N73" s="10" t="s">
        <v>464</v>
      </c>
      <c r="O73" s="9" t="s">
        <v>100</v>
      </c>
      <c r="P73" s="10"/>
      <c r="Q73" s="10" t="s">
        <v>464</v>
      </c>
      <c r="R73" s="10" t="s">
        <v>119</v>
      </c>
      <c r="S73" s="10" t="s">
        <v>130</v>
      </c>
      <c r="T73" s="10" t="s">
        <v>120</v>
      </c>
      <c r="U73" s="10" t="s">
        <v>101</v>
      </c>
      <c r="V73" s="10" t="s">
        <v>121</v>
      </c>
      <c r="W73" s="10" t="s">
        <v>122</v>
      </c>
      <c r="X73" s="10" t="s">
        <v>123</v>
      </c>
      <c r="Y73" s="29">
        <v>1</v>
      </c>
      <c r="Z73" s="138" t="s">
        <v>565</v>
      </c>
      <c r="AA73" s="138">
        <v>38608</v>
      </c>
      <c r="AB73" s="9" t="s">
        <v>114</v>
      </c>
      <c r="AC73" s="9" t="s">
        <v>124</v>
      </c>
      <c r="AD73" s="15">
        <v>44651</v>
      </c>
      <c r="AE73" s="39" t="s">
        <v>125</v>
      </c>
      <c r="AF73" s="177">
        <v>6</v>
      </c>
      <c r="AG73" s="140">
        <v>0</v>
      </c>
      <c r="AH73" s="9">
        <v>0</v>
      </c>
      <c r="AI73" s="10" t="s">
        <v>126</v>
      </c>
      <c r="AJ73" s="10"/>
      <c r="AK73" s="29"/>
      <c r="AL73" s="12">
        <v>1</v>
      </c>
      <c r="AM73" s="10"/>
      <c r="AN73" s="12">
        <f>FAR[[#This Row],[Opening RUL]]+FAR[[#This Row],[RUL Adjustment]]</f>
        <v>1</v>
      </c>
      <c r="AO73" s="12">
        <f>FAR[[#This Row],[Opening RUL 30 June 2026]]-1</f>
        <v>0</v>
      </c>
      <c r="AP73" s="12" t="s">
        <v>1050</v>
      </c>
      <c r="AQ73" s="139"/>
      <c r="AR73" s="10" t="s">
        <v>127</v>
      </c>
      <c r="AS73" s="13">
        <v>1482</v>
      </c>
      <c r="AT73" s="13"/>
      <c r="AU73" s="13">
        <v>0</v>
      </c>
      <c r="AV73" s="13">
        <v>0</v>
      </c>
      <c r="AW73" s="13">
        <v>0</v>
      </c>
      <c r="AX73" s="13">
        <v>1482</v>
      </c>
      <c r="AY73" s="13">
        <v>82.333333333333485</v>
      </c>
      <c r="AZ73" s="13">
        <v>0</v>
      </c>
      <c r="BA73" s="13"/>
      <c r="BB73" s="13"/>
      <c r="BC73" s="13">
        <v>-1399.6666666666665</v>
      </c>
      <c r="BD73" s="13"/>
      <c r="BE73" s="13" t="s">
        <v>114</v>
      </c>
      <c r="BF73" s="29"/>
      <c r="BG73" s="13"/>
      <c r="BH73" s="13">
        <f>-FAR[[#This Row],[Carrying value (opening balance)]]/FAR[[#This Row],[Opening RUL 30 June 2026]]</f>
        <v>-82.333333333333485</v>
      </c>
      <c r="BI73" s="13">
        <f>FAR[[#This Row],[Depreciation YTD]]/12</f>
        <v>-6.861111111111124</v>
      </c>
      <c r="BJ73" s="13"/>
      <c r="BK73" s="13" t="s">
        <v>116</v>
      </c>
      <c r="BL73" s="13">
        <v>0</v>
      </c>
      <c r="BM73" s="13">
        <f>FAR[[#This Row],[Accumulated depreciation (Opening balance)]]+FAR[[#This Row],[Depreciation YTD]]+FAR[[#This Row],[Derecognitions (acc dep) '[+']]]</f>
        <v>-1482</v>
      </c>
      <c r="BN73" s="13"/>
      <c r="BO73" s="13"/>
      <c r="BP73" s="13"/>
      <c r="BQ73" s="13"/>
      <c r="BR7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73" s="13">
        <f>FAR[[#This Row],[Cost Price (closing balance)]]+FAR[[#This Row],[Accumulated depreciation (Closing balance)]]+FAR[[#This Row],[Accumulated impairments (Closing balance)]]</f>
        <v>0</v>
      </c>
      <c r="BT73" s="13"/>
      <c r="BU73" s="13"/>
      <c r="BV73" s="13"/>
      <c r="BW73" s="10" t="s">
        <v>167</v>
      </c>
      <c r="BX73" s="9" t="s">
        <v>168</v>
      </c>
      <c r="BY73" s="10"/>
      <c r="BZ73" t="s">
        <v>974</v>
      </c>
      <c r="CA73"/>
      <c r="CB73" s="34"/>
      <c r="CC73" s="34"/>
      <c r="CD73" s="34"/>
      <c r="CE73" s="141"/>
    </row>
    <row r="74" spans="1:83">
      <c r="A74" s="35" t="s">
        <v>245</v>
      </c>
      <c r="B74" s="9" t="s">
        <v>859</v>
      </c>
      <c r="C74" s="9" t="s">
        <v>54</v>
      </c>
      <c r="D74" s="10" t="s">
        <v>1</v>
      </c>
      <c r="E74" s="9" t="s">
        <v>115</v>
      </c>
      <c r="F74" s="36" t="s">
        <v>99</v>
      </c>
      <c r="G74" s="9" t="s">
        <v>100</v>
      </c>
      <c r="H74" s="3" t="s">
        <v>128</v>
      </c>
      <c r="I74" s="9" t="s">
        <v>100</v>
      </c>
      <c r="J74" s="36" t="s">
        <v>101</v>
      </c>
      <c r="K74" s="10" t="s">
        <v>559</v>
      </c>
      <c r="L74" s="10" t="s">
        <v>559</v>
      </c>
      <c r="M74" s="9" t="s">
        <v>100</v>
      </c>
      <c r="N74" s="10" t="s">
        <v>464</v>
      </c>
      <c r="O74" s="9" t="s">
        <v>100</v>
      </c>
      <c r="P74" s="10"/>
      <c r="Q74" s="10" t="s">
        <v>464</v>
      </c>
      <c r="R74" s="10" t="s">
        <v>119</v>
      </c>
      <c r="S74" s="10" t="s">
        <v>130</v>
      </c>
      <c r="T74" s="10" t="s">
        <v>120</v>
      </c>
      <c r="U74" s="10" t="s">
        <v>101</v>
      </c>
      <c r="V74" s="10" t="s">
        <v>121</v>
      </c>
      <c r="W74" s="10" t="s">
        <v>122</v>
      </c>
      <c r="X74" s="10" t="s">
        <v>123</v>
      </c>
      <c r="Y74" s="29">
        <v>1</v>
      </c>
      <c r="Z74" s="138" t="s">
        <v>565</v>
      </c>
      <c r="AA74" s="138">
        <v>38608</v>
      </c>
      <c r="AB74" s="9" t="s">
        <v>114</v>
      </c>
      <c r="AC74" s="9" t="s">
        <v>124</v>
      </c>
      <c r="AD74" s="15">
        <v>44651</v>
      </c>
      <c r="AE74" s="39" t="s">
        <v>125</v>
      </c>
      <c r="AF74" s="177">
        <v>6</v>
      </c>
      <c r="AG74" s="140">
        <v>0</v>
      </c>
      <c r="AH74" s="9">
        <v>0</v>
      </c>
      <c r="AI74" s="10" t="s">
        <v>126</v>
      </c>
      <c r="AJ74" s="10"/>
      <c r="AK74" s="29"/>
      <c r="AL74" s="12">
        <v>1</v>
      </c>
      <c r="AM74" s="10"/>
      <c r="AN74" s="12">
        <f>FAR[[#This Row],[Opening RUL]]+FAR[[#This Row],[RUL Adjustment]]</f>
        <v>1</v>
      </c>
      <c r="AO74" s="12">
        <f>FAR[[#This Row],[Opening RUL 30 June 2026]]-1</f>
        <v>0</v>
      </c>
      <c r="AP74" s="12" t="s">
        <v>1050</v>
      </c>
      <c r="AQ74" s="139"/>
      <c r="AR74" s="10" t="s">
        <v>127</v>
      </c>
      <c r="AS74" s="13">
        <v>1482</v>
      </c>
      <c r="AT74" s="13"/>
      <c r="AU74" s="13">
        <v>0</v>
      </c>
      <c r="AV74" s="13">
        <v>0</v>
      </c>
      <c r="AW74" s="13">
        <v>0</v>
      </c>
      <c r="AX74" s="13">
        <v>1482</v>
      </c>
      <c r="AY74" s="13">
        <v>82.333333333333485</v>
      </c>
      <c r="AZ74" s="13">
        <v>0</v>
      </c>
      <c r="BA74" s="13"/>
      <c r="BB74" s="13"/>
      <c r="BC74" s="13">
        <v>-1399.6666666666665</v>
      </c>
      <c r="BD74" s="13"/>
      <c r="BE74" s="13" t="s">
        <v>114</v>
      </c>
      <c r="BF74" s="29"/>
      <c r="BG74" s="13"/>
      <c r="BH74" s="13">
        <f>-FAR[[#This Row],[Carrying value (opening balance)]]/FAR[[#This Row],[Opening RUL 30 June 2026]]</f>
        <v>-82.333333333333485</v>
      </c>
      <c r="BI74" s="13">
        <f>FAR[[#This Row],[Depreciation YTD]]/12</f>
        <v>-6.861111111111124</v>
      </c>
      <c r="BJ74" s="13"/>
      <c r="BK74" s="13" t="s">
        <v>116</v>
      </c>
      <c r="BL74" s="13">
        <v>0</v>
      </c>
      <c r="BM74" s="13">
        <f>FAR[[#This Row],[Accumulated depreciation (Opening balance)]]+FAR[[#This Row],[Depreciation YTD]]+FAR[[#This Row],[Derecognitions (acc dep) '[+']]]</f>
        <v>-1482</v>
      </c>
      <c r="BN74" s="13"/>
      <c r="BO74" s="13"/>
      <c r="BP74" s="13"/>
      <c r="BQ74" s="13"/>
      <c r="BR7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74" s="13">
        <f>FAR[[#This Row],[Cost Price (closing balance)]]+FAR[[#This Row],[Accumulated depreciation (Closing balance)]]+FAR[[#This Row],[Accumulated impairments (Closing balance)]]</f>
        <v>0</v>
      </c>
      <c r="BT74" s="13"/>
      <c r="BU74" s="13"/>
      <c r="BV74" s="13"/>
      <c r="BW74" s="10" t="s">
        <v>167</v>
      </c>
      <c r="BX74" s="9" t="s">
        <v>168</v>
      </c>
      <c r="BY74" s="10"/>
      <c r="BZ74" t="s">
        <v>944</v>
      </c>
      <c r="CA74"/>
      <c r="CB74" s="34"/>
      <c r="CC74" s="34"/>
      <c r="CD74" s="34"/>
      <c r="CE74" s="141"/>
    </row>
    <row r="75" spans="1:83">
      <c r="A75" s="35" t="s">
        <v>246</v>
      </c>
      <c r="B75" s="9" t="s">
        <v>872</v>
      </c>
      <c r="C75" s="9" t="s">
        <v>54</v>
      </c>
      <c r="D75" s="10" t="s">
        <v>1</v>
      </c>
      <c r="E75" s="9" t="s">
        <v>115</v>
      </c>
      <c r="F75" s="36" t="s">
        <v>99</v>
      </c>
      <c r="G75" s="9" t="s">
        <v>100</v>
      </c>
      <c r="H75" s="3" t="s">
        <v>128</v>
      </c>
      <c r="I75" s="9" t="s">
        <v>100</v>
      </c>
      <c r="J75" s="36" t="s">
        <v>101</v>
      </c>
      <c r="K75" s="10" t="s">
        <v>559</v>
      </c>
      <c r="L75" s="10" t="s">
        <v>559</v>
      </c>
      <c r="M75" s="9" t="s">
        <v>100</v>
      </c>
      <c r="N75" s="10" t="s">
        <v>464</v>
      </c>
      <c r="O75" s="9" t="s">
        <v>100</v>
      </c>
      <c r="P75" s="10"/>
      <c r="Q75" s="10" t="s">
        <v>464</v>
      </c>
      <c r="R75" s="10" t="s">
        <v>119</v>
      </c>
      <c r="S75" s="10" t="s">
        <v>130</v>
      </c>
      <c r="T75" s="10" t="s">
        <v>120</v>
      </c>
      <c r="U75" s="10" t="s">
        <v>101</v>
      </c>
      <c r="V75" s="10" t="s">
        <v>121</v>
      </c>
      <c r="W75" s="10" t="s">
        <v>122</v>
      </c>
      <c r="X75" s="10" t="s">
        <v>123</v>
      </c>
      <c r="Y75" s="29">
        <v>1</v>
      </c>
      <c r="Z75" s="138" t="s">
        <v>565</v>
      </c>
      <c r="AA75" s="138">
        <v>38608</v>
      </c>
      <c r="AB75" s="9" t="s">
        <v>114</v>
      </c>
      <c r="AC75" s="9" t="s">
        <v>124</v>
      </c>
      <c r="AD75" s="15">
        <v>44651</v>
      </c>
      <c r="AE75" s="39" t="s">
        <v>125</v>
      </c>
      <c r="AF75" s="177">
        <v>6</v>
      </c>
      <c r="AG75" s="140">
        <v>0</v>
      </c>
      <c r="AH75" s="9">
        <v>0</v>
      </c>
      <c r="AI75" s="10" t="s">
        <v>126</v>
      </c>
      <c r="AJ75" s="10"/>
      <c r="AK75" s="29"/>
      <c r="AL75" s="12">
        <v>1</v>
      </c>
      <c r="AM75" s="10"/>
      <c r="AN75" s="12">
        <f>FAR[[#This Row],[Opening RUL]]+FAR[[#This Row],[RUL Adjustment]]</f>
        <v>1</v>
      </c>
      <c r="AO75" s="12">
        <f>FAR[[#This Row],[Opening RUL 30 June 2026]]-1</f>
        <v>0</v>
      </c>
      <c r="AP75" s="12" t="s">
        <v>1050</v>
      </c>
      <c r="AQ75" s="139"/>
      <c r="AR75" s="10" t="s">
        <v>127</v>
      </c>
      <c r="AS75" s="13">
        <v>1482</v>
      </c>
      <c r="AT75" s="13"/>
      <c r="AU75" s="13">
        <v>0</v>
      </c>
      <c r="AV75" s="13">
        <v>0</v>
      </c>
      <c r="AW75" s="13">
        <v>0</v>
      </c>
      <c r="AX75" s="13">
        <v>1482</v>
      </c>
      <c r="AY75" s="13">
        <v>82.333333333333485</v>
      </c>
      <c r="AZ75" s="13">
        <v>0</v>
      </c>
      <c r="BA75" s="13"/>
      <c r="BB75" s="13"/>
      <c r="BC75" s="13">
        <v>-1399.6666666666665</v>
      </c>
      <c r="BD75" s="13"/>
      <c r="BE75" s="13" t="s">
        <v>114</v>
      </c>
      <c r="BF75" s="29"/>
      <c r="BG75" s="13"/>
      <c r="BH75" s="13">
        <f>-FAR[[#This Row],[Carrying value (opening balance)]]/FAR[[#This Row],[Opening RUL 30 June 2026]]</f>
        <v>-82.333333333333485</v>
      </c>
      <c r="BI75" s="13">
        <f>FAR[[#This Row],[Depreciation YTD]]/12</f>
        <v>-6.861111111111124</v>
      </c>
      <c r="BJ75" s="13"/>
      <c r="BK75" s="13" t="s">
        <v>116</v>
      </c>
      <c r="BL75" s="13">
        <v>0</v>
      </c>
      <c r="BM75" s="13">
        <f>FAR[[#This Row],[Accumulated depreciation (Opening balance)]]+FAR[[#This Row],[Depreciation YTD]]+FAR[[#This Row],[Derecognitions (acc dep) '[+']]]</f>
        <v>-1482</v>
      </c>
      <c r="BN75" s="13"/>
      <c r="BO75" s="13"/>
      <c r="BP75" s="13"/>
      <c r="BQ75" s="13"/>
      <c r="BR7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75" s="13">
        <f>FAR[[#This Row],[Cost Price (closing balance)]]+FAR[[#This Row],[Accumulated depreciation (Closing balance)]]+FAR[[#This Row],[Accumulated impairments (Closing balance)]]</f>
        <v>0</v>
      </c>
      <c r="BT75" s="13"/>
      <c r="BU75" s="13"/>
      <c r="BV75" s="13"/>
      <c r="BW75" s="10" t="s">
        <v>167</v>
      </c>
      <c r="BX75" s="9" t="s">
        <v>168</v>
      </c>
      <c r="BY75" s="10"/>
      <c r="BZ75" t="s">
        <v>956</v>
      </c>
      <c r="CA75"/>
      <c r="CB75" s="34"/>
      <c r="CC75" s="34"/>
      <c r="CD75" s="34"/>
      <c r="CE75" s="141"/>
    </row>
    <row r="76" spans="1:83">
      <c r="A76" s="35" t="s">
        <v>247</v>
      </c>
      <c r="B76" s="9" t="s">
        <v>883</v>
      </c>
      <c r="C76" s="9" t="s">
        <v>54</v>
      </c>
      <c r="D76" s="10" t="s">
        <v>1</v>
      </c>
      <c r="E76" s="9" t="s">
        <v>115</v>
      </c>
      <c r="F76" s="36" t="s">
        <v>99</v>
      </c>
      <c r="G76" s="9" t="s">
        <v>100</v>
      </c>
      <c r="H76" s="3" t="s">
        <v>128</v>
      </c>
      <c r="I76" s="9" t="s">
        <v>100</v>
      </c>
      <c r="J76" s="36" t="s">
        <v>101</v>
      </c>
      <c r="K76" s="10" t="s">
        <v>559</v>
      </c>
      <c r="L76" s="10" t="s">
        <v>559</v>
      </c>
      <c r="M76" s="9" t="s">
        <v>100</v>
      </c>
      <c r="N76" s="10" t="s">
        <v>464</v>
      </c>
      <c r="O76" s="9" t="s">
        <v>100</v>
      </c>
      <c r="P76" s="10"/>
      <c r="Q76" s="10" t="s">
        <v>464</v>
      </c>
      <c r="R76" s="10" t="s">
        <v>119</v>
      </c>
      <c r="S76" s="10" t="s">
        <v>130</v>
      </c>
      <c r="T76" s="10" t="s">
        <v>120</v>
      </c>
      <c r="U76" s="10" t="s">
        <v>101</v>
      </c>
      <c r="V76" s="10" t="s">
        <v>121</v>
      </c>
      <c r="W76" s="10" t="s">
        <v>122</v>
      </c>
      <c r="X76" s="10" t="s">
        <v>123</v>
      </c>
      <c r="Y76" s="29">
        <v>1</v>
      </c>
      <c r="Z76" s="138" t="s">
        <v>565</v>
      </c>
      <c r="AA76" s="138">
        <v>38608</v>
      </c>
      <c r="AB76" s="9" t="s">
        <v>114</v>
      </c>
      <c r="AC76" s="9" t="s">
        <v>124</v>
      </c>
      <c r="AD76" s="15">
        <v>44651</v>
      </c>
      <c r="AE76" s="39" t="s">
        <v>125</v>
      </c>
      <c r="AF76" s="177">
        <v>6</v>
      </c>
      <c r="AG76" s="140">
        <v>0</v>
      </c>
      <c r="AH76" s="9">
        <v>0</v>
      </c>
      <c r="AI76" s="10" t="s">
        <v>126</v>
      </c>
      <c r="AJ76" s="10"/>
      <c r="AK76" s="29"/>
      <c r="AL76" s="12">
        <v>1</v>
      </c>
      <c r="AM76" s="10"/>
      <c r="AN76" s="12">
        <f>FAR[[#This Row],[Opening RUL]]+FAR[[#This Row],[RUL Adjustment]]</f>
        <v>1</v>
      </c>
      <c r="AO76" s="12">
        <f>FAR[[#This Row],[Opening RUL 30 June 2026]]-1</f>
        <v>0</v>
      </c>
      <c r="AP76" s="12" t="s">
        <v>1050</v>
      </c>
      <c r="AQ76" s="139"/>
      <c r="AR76" s="10" t="s">
        <v>127</v>
      </c>
      <c r="AS76" s="13">
        <v>1482</v>
      </c>
      <c r="AT76" s="13"/>
      <c r="AU76" s="13">
        <v>0</v>
      </c>
      <c r="AV76" s="13">
        <v>0</v>
      </c>
      <c r="AW76" s="13">
        <v>0</v>
      </c>
      <c r="AX76" s="13">
        <v>1482</v>
      </c>
      <c r="AY76" s="13">
        <v>82.333333333333485</v>
      </c>
      <c r="AZ76" s="13">
        <v>0</v>
      </c>
      <c r="BA76" s="13"/>
      <c r="BB76" s="13"/>
      <c r="BC76" s="13">
        <v>-1399.6666666666665</v>
      </c>
      <c r="BD76" s="13"/>
      <c r="BE76" s="13" t="s">
        <v>114</v>
      </c>
      <c r="BF76" s="29"/>
      <c r="BG76" s="13"/>
      <c r="BH76" s="13">
        <f>-FAR[[#This Row],[Carrying value (opening balance)]]/FAR[[#This Row],[Opening RUL 30 June 2026]]</f>
        <v>-82.333333333333485</v>
      </c>
      <c r="BI76" s="13">
        <f>FAR[[#This Row],[Depreciation YTD]]/12</f>
        <v>-6.861111111111124</v>
      </c>
      <c r="BJ76" s="13"/>
      <c r="BK76" s="13" t="s">
        <v>116</v>
      </c>
      <c r="BL76" s="13">
        <v>0</v>
      </c>
      <c r="BM76" s="13">
        <f>FAR[[#This Row],[Accumulated depreciation (Opening balance)]]+FAR[[#This Row],[Depreciation YTD]]+FAR[[#This Row],[Derecognitions (acc dep) '[+']]]</f>
        <v>-1482</v>
      </c>
      <c r="BN76" s="13"/>
      <c r="BO76" s="13"/>
      <c r="BP76" s="13"/>
      <c r="BQ76" s="13"/>
      <c r="BR7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76" s="13">
        <f>FAR[[#This Row],[Cost Price (closing balance)]]+FAR[[#This Row],[Accumulated depreciation (Closing balance)]]+FAR[[#This Row],[Accumulated impairments (Closing balance)]]</f>
        <v>0</v>
      </c>
      <c r="BT76" s="13"/>
      <c r="BU76" s="13"/>
      <c r="BV76" s="13"/>
      <c r="BW76" s="10" t="s">
        <v>167</v>
      </c>
      <c r="BX76" s="9" t="s">
        <v>168</v>
      </c>
      <c r="BY76" s="10"/>
      <c r="BZ76" t="s">
        <v>972</v>
      </c>
      <c r="CA76"/>
      <c r="CB76" s="34"/>
      <c r="CC76" s="34"/>
      <c r="CD76" s="34"/>
      <c r="CE76" s="141"/>
    </row>
    <row r="77" spans="1:83">
      <c r="A77" s="35" t="s">
        <v>248</v>
      </c>
      <c r="B77" s="9" t="s">
        <v>881</v>
      </c>
      <c r="C77" s="9" t="s">
        <v>54</v>
      </c>
      <c r="D77" s="10" t="s">
        <v>1</v>
      </c>
      <c r="E77" s="9" t="s">
        <v>115</v>
      </c>
      <c r="F77" s="36" t="s">
        <v>99</v>
      </c>
      <c r="G77" s="9" t="s">
        <v>100</v>
      </c>
      <c r="H77" s="3" t="s">
        <v>128</v>
      </c>
      <c r="I77" s="9" t="s">
        <v>100</v>
      </c>
      <c r="J77" s="36" t="s">
        <v>101</v>
      </c>
      <c r="K77" s="10" t="s">
        <v>559</v>
      </c>
      <c r="L77" s="10" t="s">
        <v>559</v>
      </c>
      <c r="M77" s="9" t="s">
        <v>100</v>
      </c>
      <c r="N77" s="10" t="s">
        <v>465</v>
      </c>
      <c r="O77" s="9" t="s">
        <v>100</v>
      </c>
      <c r="P77" s="10"/>
      <c r="Q77" s="10" t="s">
        <v>465</v>
      </c>
      <c r="R77" s="10" t="s">
        <v>119</v>
      </c>
      <c r="S77" s="10" t="s">
        <v>130</v>
      </c>
      <c r="T77" s="10" t="s">
        <v>120</v>
      </c>
      <c r="U77" s="10" t="s">
        <v>101</v>
      </c>
      <c r="V77" s="10" t="s">
        <v>121</v>
      </c>
      <c r="W77" s="10" t="s">
        <v>122</v>
      </c>
      <c r="X77" s="10" t="s">
        <v>123</v>
      </c>
      <c r="Y77" s="29">
        <v>1</v>
      </c>
      <c r="Z77" s="138" t="s">
        <v>566</v>
      </c>
      <c r="AA77" s="138">
        <v>38611</v>
      </c>
      <c r="AB77" s="9" t="s">
        <v>114</v>
      </c>
      <c r="AC77" s="9" t="s">
        <v>124</v>
      </c>
      <c r="AD77" s="15">
        <v>44651</v>
      </c>
      <c r="AE77" s="39" t="s">
        <v>125</v>
      </c>
      <c r="AF77" s="177">
        <v>6</v>
      </c>
      <c r="AG77" s="140">
        <v>0</v>
      </c>
      <c r="AH77" s="9">
        <v>0</v>
      </c>
      <c r="AI77" s="10" t="s">
        <v>126</v>
      </c>
      <c r="AJ77" s="10"/>
      <c r="AK77" s="29"/>
      <c r="AL77" s="12">
        <v>1</v>
      </c>
      <c r="AM77" s="10"/>
      <c r="AN77" s="12">
        <f>FAR[[#This Row],[Opening RUL]]+FAR[[#This Row],[RUL Adjustment]]</f>
        <v>1</v>
      </c>
      <c r="AO77" s="12">
        <f>FAR[[#This Row],[Opening RUL 30 June 2026]]-1</f>
        <v>0</v>
      </c>
      <c r="AP77" s="12" t="s">
        <v>1052</v>
      </c>
      <c r="AQ77" s="139"/>
      <c r="AR77" s="10" t="s">
        <v>127</v>
      </c>
      <c r="AS77" s="13">
        <v>2052</v>
      </c>
      <c r="AT77" s="13"/>
      <c r="AU77" s="13">
        <v>0</v>
      </c>
      <c r="AV77" s="13">
        <v>0</v>
      </c>
      <c r="AW77" s="13">
        <v>0</v>
      </c>
      <c r="AX77" s="13">
        <v>2052</v>
      </c>
      <c r="AY77" s="13">
        <v>114</v>
      </c>
      <c r="AZ77" s="13">
        <v>0</v>
      </c>
      <c r="BA77" s="13"/>
      <c r="BB77" s="13"/>
      <c r="BC77" s="13">
        <v>-1938</v>
      </c>
      <c r="BD77" s="13"/>
      <c r="BE77" s="13" t="s">
        <v>114</v>
      </c>
      <c r="BF77" s="29"/>
      <c r="BG77" s="13"/>
      <c r="BH77" s="13">
        <f>-FAR[[#This Row],[Carrying value (opening balance)]]/FAR[[#This Row],[Opening RUL 30 June 2026]]</f>
        <v>-114</v>
      </c>
      <c r="BI77" s="13">
        <f>FAR[[#This Row],[Depreciation YTD]]/12</f>
        <v>-9.5</v>
      </c>
      <c r="BJ77" s="13"/>
      <c r="BK77" s="13" t="s">
        <v>116</v>
      </c>
      <c r="BL77" s="13">
        <v>0</v>
      </c>
      <c r="BM77" s="13">
        <f>FAR[[#This Row],[Accumulated depreciation (Opening balance)]]+FAR[[#This Row],[Depreciation YTD]]+FAR[[#This Row],[Derecognitions (acc dep) '[+']]]</f>
        <v>-2052</v>
      </c>
      <c r="BN77" s="13"/>
      <c r="BO77" s="13"/>
      <c r="BP77" s="13"/>
      <c r="BQ77" s="13"/>
      <c r="BR7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77" s="13">
        <f>FAR[[#This Row],[Cost Price (closing balance)]]+FAR[[#This Row],[Accumulated depreciation (Closing balance)]]+FAR[[#This Row],[Accumulated impairments (Closing balance)]]</f>
        <v>0</v>
      </c>
      <c r="BT77" s="13"/>
      <c r="BU77" s="13"/>
      <c r="BV77" s="13"/>
      <c r="BW77" s="10" t="s">
        <v>167</v>
      </c>
      <c r="BX77" s="9" t="s">
        <v>168</v>
      </c>
      <c r="BY77" s="10"/>
      <c r="BZ77" t="s">
        <v>940</v>
      </c>
      <c r="CA77"/>
      <c r="CB77" s="34"/>
      <c r="CC77" s="34"/>
      <c r="CD77" s="34"/>
      <c r="CE77" s="141"/>
    </row>
    <row r="78" spans="1:83">
      <c r="A78" s="35" t="s">
        <v>249</v>
      </c>
      <c r="B78" s="9" t="s">
        <v>881</v>
      </c>
      <c r="C78" s="9" t="s">
        <v>54</v>
      </c>
      <c r="D78" s="10" t="s">
        <v>1</v>
      </c>
      <c r="E78" s="9" t="s">
        <v>115</v>
      </c>
      <c r="F78" s="36" t="s">
        <v>99</v>
      </c>
      <c r="G78" s="9" t="s">
        <v>100</v>
      </c>
      <c r="H78" s="3" t="s">
        <v>128</v>
      </c>
      <c r="I78" s="9" t="s">
        <v>100</v>
      </c>
      <c r="J78" s="36" t="s">
        <v>101</v>
      </c>
      <c r="K78" s="10" t="s">
        <v>559</v>
      </c>
      <c r="L78" s="10" t="s">
        <v>559</v>
      </c>
      <c r="M78" s="9" t="s">
        <v>100</v>
      </c>
      <c r="N78" s="10" t="s">
        <v>465</v>
      </c>
      <c r="O78" s="9" t="s">
        <v>100</v>
      </c>
      <c r="P78" s="10"/>
      <c r="Q78" s="10" t="s">
        <v>465</v>
      </c>
      <c r="R78" s="10" t="s">
        <v>119</v>
      </c>
      <c r="S78" s="10" t="s">
        <v>130</v>
      </c>
      <c r="T78" s="10" t="s">
        <v>120</v>
      </c>
      <c r="U78" s="10" t="s">
        <v>101</v>
      </c>
      <c r="V78" s="10" t="s">
        <v>121</v>
      </c>
      <c r="W78" s="10" t="s">
        <v>122</v>
      </c>
      <c r="X78" s="10" t="s">
        <v>123</v>
      </c>
      <c r="Y78" s="29">
        <v>1</v>
      </c>
      <c r="Z78" s="138" t="s">
        <v>566</v>
      </c>
      <c r="AA78" s="138">
        <v>38611</v>
      </c>
      <c r="AB78" s="9" t="s">
        <v>114</v>
      </c>
      <c r="AC78" s="9" t="s">
        <v>124</v>
      </c>
      <c r="AD78" s="15">
        <v>44651</v>
      </c>
      <c r="AE78" s="39" t="s">
        <v>125</v>
      </c>
      <c r="AF78" s="177">
        <v>6</v>
      </c>
      <c r="AG78" s="140">
        <v>0</v>
      </c>
      <c r="AH78" s="9">
        <v>0</v>
      </c>
      <c r="AI78" s="10" t="s">
        <v>126</v>
      </c>
      <c r="AJ78" s="10"/>
      <c r="AK78" s="29"/>
      <c r="AL78" s="12">
        <v>1</v>
      </c>
      <c r="AM78" s="10"/>
      <c r="AN78" s="12">
        <f>FAR[[#This Row],[Opening RUL]]+FAR[[#This Row],[RUL Adjustment]]</f>
        <v>1</v>
      </c>
      <c r="AO78" s="12">
        <f>FAR[[#This Row],[Opening RUL 30 June 2026]]-1</f>
        <v>0</v>
      </c>
      <c r="AP78" s="12" t="s">
        <v>1050</v>
      </c>
      <c r="AQ78" s="139"/>
      <c r="AR78" s="10" t="s">
        <v>127</v>
      </c>
      <c r="AS78" s="13">
        <v>2052</v>
      </c>
      <c r="AT78" s="13"/>
      <c r="AU78" s="13">
        <v>0</v>
      </c>
      <c r="AV78" s="13">
        <v>0</v>
      </c>
      <c r="AW78" s="13">
        <v>0</v>
      </c>
      <c r="AX78" s="13">
        <v>2052</v>
      </c>
      <c r="AY78" s="13">
        <v>114</v>
      </c>
      <c r="AZ78" s="13">
        <v>0</v>
      </c>
      <c r="BA78" s="13"/>
      <c r="BB78" s="13"/>
      <c r="BC78" s="13">
        <v>-1938</v>
      </c>
      <c r="BD78" s="13"/>
      <c r="BE78" s="13" t="s">
        <v>114</v>
      </c>
      <c r="BF78" s="29"/>
      <c r="BG78" s="13"/>
      <c r="BH78" s="13">
        <f>-FAR[[#This Row],[Carrying value (opening balance)]]/FAR[[#This Row],[Opening RUL 30 June 2026]]</f>
        <v>-114</v>
      </c>
      <c r="BI78" s="13">
        <f>FAR[[#This Row],[Depreciation YTD]]/12</f>
        <v>-9.5</v>
      </c>
      <c r="BJ78" s="13"/>
      <c r="BK78" s="13" t="s">
        <v>116</v>
      </c>
      <c r="BL78" s="13">
        <v>0</v>
      </c>
      <c r="BM78" s="13">
        <f>FAR[[#This Row],[Accumulated depreciation (Opening balance)]]+FAR[[#This Row],[Depreciation YTD]]+FAR[[#This Row],[Derecognitions (acc dep) '[+']]]</f>
        <v>-2052</v>
      </c>
      <c r="BN78" s="13"/>
      <c r="BO78" s="13"/>
      <c r="BP78" s="13"/>
      <c r="BQ78" s="13"/>
      <c r="BR7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78" s="13">
        <f>FAR[[#This Row],[Cost Price (closing balance)]]+FAR[[#This Row],[Accumulated depreciation (Closing balance)]]+FAR[[#This Row],[Accumulated impairments (Closing balance)]]</f>
        <v>0</v>
      </c>
      <c r="BT78" s="13"/>
      <c r="BU78" s="13"/>
      <c r="BV78" s="13"/>
      <c r="BW78" s="10" t="s">
        <v>167</v>
      </c>
      <c r="BX78" s="9" t="s">
        <v>168</v>
      </c>
      <c r="BY78" s="10"/>
      <c r="BZ78" t="s">
        <v>940</v>
      </c>
      <c r="CA78"/>
      <c r="CB78" s="34"/>
      <c r="CC78" s="34"/>
      <c r="CD78" s="34"/>
      <c r="CE78" s="141"/>
    </row>
    <row r="79" spans="1:83">
      <c r="A79" s="35" t="s">
        <v>250</v>
      </c>
      <c r="B79" s="9" t="s">
        <v>886</v>
      </c>
      <c r="C79" s="9" t="s">
        <v>54</v>
      </c>
      <c r="D79" s="10" t="s">
        <v>1</v>
      </c>
      <c r="E79" s="9" t="s">
        <v>115</v>
      </c>
      <c r="F79" s="36" t="s">
        <v>99</v>
      </c>
      <c r="G79" s="9" t="s">
        <v>100</v>
      </c>
      <c r="H79" s="3" t="s">
        <v>128</v>
      </c>
      <c r="I79" s="9" t="s">
        <v>100</v>
      </c>
      <c r="J79" s="36" t="s">
        <v>101</v>
      </c>
      <c r="K79" s="10" t="s">
        <v>559</v>
      </c>
      <c r="L79" s="10" t="s">
        <v>559</v>
      </c>
      <c r="M79" s="9" t="s">
        <v>100</v>
      </c>
      <c r="N79" s="10" t="s">
        <v>465</v>
      </c>
      <c r="O79" s="9" t="s">
        <v>100</v>
      </c>
      <c r="P79" s="10"/>
      <c r="Q79" s="10" t="s">
        <v>465</v>
      </c>
      <c r="R79" s="10" t="s">
        <v>119</v>
      </c>
      <c r="S79" s="10" t="s">
        <v>130</v>
      </c>
      <c r="T79" s="10" t="s">
        <v>120</v>
      </c>
      <c r="U79" s="10" t="s">
        <v>101</v>
      </c>
      <c r="V79" s="10" t="s">
        <v>121</v>
      </c>
      <c r="W79" s="10" t="s">
        <v>122</v>
      </c>
      <c r="X79" s="10" t="s">
        <v>123</v>
      </c>
      <c r="Y79" s="29">
        <v>1</v>
      </c>
      <c r="Z79" s="138" t="s">
        <v>566</v>
      </c>
      <c r="AA79" s="138">
        <v>38611</v>
      </c>
      <c r="AB79" s="9" t="s">
        <v>114</v>
      </c>
      <c r="AC79" s="9" t="s">
        <v>124</v>
      </c>
      <c r="AD79" s="15">
        <v>44651</v>
      </c>
      <c r="AE79" s="39" t="s">
        <v>125</v>
      </c>
      <c r="AF79" s="177">
        <v>6</v>
      </c>
      <c r="AG79" s="140">
        <v>0</v>
      </c>
      <c r="AH79" s="9">
        <v>0</v>
      </c>
      <c r="AI79" s="10" t="s">
        <v>126</v>
      </c>
      <c r="AJ79" s="10"/>
      <c r="AK79" s="29"/>
      <c r="AL79" s="12">
        <v>1</v>
      </c>
      <c r="AM79" s="10"/>
      <c r="AN79" s="12">
        <f>FAR[[#This Row],[Opening RUL]]+FAR[[#This Row],[RUL Adjustment]]</f>
        <v>1</v>
      </c>
      <c r="AO79" s="12">
        <f>FAR[[#This Row],[Opening RUL 30 June 2026]]-1</f>
        <v>0</v>
      </c>
      <c r="AP79" s="12" t="s">
        <v>1050</v>
      </c>
      <c r="AQ79" s="139"/>
      <c r="AR79" s="10" t="s">
        <v>127</v>
      </c>
      <c r="AS79" s="13">
        <v>2052</v>
      </c>
      <c r="AT79" s="13"/>
      <c r="AU79" s="13">
        <v>0</v>
      </c>
      <c r="AV79" s="13">
        <v>0</v>
      </c>
      <c r="AW79" s="13">
        <v>0</v>
      </c>
      <c r="AX79" s="13">
        <v>2052</v>
      </c>
      <c r="AY79" s="13">
        <v>114</v>
      </c>
      <c r="AZ79" s="13">
        <v>0</v>
      </c>
      <c r="BA79" s="13"/>
      <c r="BB79" s="13"/>
      <c r="BC79" s="13">
        <v>-1938</v>
      </c>
      <c r="BD79" s="13"/>
      <c r="BE79" s="13" t="s">
        <v>114</v>
      </c>
      <c r="BF79" s="29"/>
      <c r="BG79" s="13"/>
      <c r="BH79" s="13">
        <f>-FAR[[#This Row],[Carrying value (opening balance)]]/FAR[[#This Row],[Opening RUL 30 June 2026]]</f>
        <v>-114</v>
      </c>
      <c r="BI79" s="13">
        <f>FAR[[#This Row],[Depreciation YTD]]/12</f>
        <v>-9.5</v>
      </c>
      <c r="BJ79" s="13"/>
      <c r="BK79" s="13" t="s">
        <v>116</v>
      </c>
      <c r="BL79" s="13">
        <v>0</v>
      </c>
      <c r="BM79" s="13">
        <f>FAR[[#This Row],[Accumulated depreciation (Opening balance)]]+FAR[[#This Row],[Depreciation YTD]]+FAR[[#This Row],[Derecognitions (acc dep) '[+']]]</f>
        <v>-2052</v>
      </c>
      <c r="BN79" s="13"/>
      <c r="BO79" s="13"/>
      <c r="BP79" s="13"/>
      <c r="BQ79" s="13"/>
      <c r="BR7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79" s="13">
        <f>FAR[[#This Row],[Cost Price (closing balance)]]+FAR[[#This Row],[Accumulated depreciation (Closing balance)]]+FAR[[#This Row],[Accumulated impairments (Closing balance)]]</f>
        <v>0</v>
      </c>
      <c r="BT79" s="13"/>
      <c r="BU79" s="13"/>
      <c r="BV79" s="13"/>
      <c r="BW79" s="10" t="s">
        <v>167</v>
      </c>
      <c r="BX79" s="9" t="s">
        <v>168</v>
      </c>
      <c r="BY79" s="10"/>
      <c r="BZ79" t="s">
        <v>975</v>
      </c>
      <c r="CA79"/>
      <c r="CB79" s="34"/>
      <c r="CC79" s="34"/>
      <c r="CD79" s="34"/>
      <c r="CE79" s="141"/>
    </row>
    <row r="80" spans="1:83">
      <c r="A80" s="35" t="s">
        <v>251</v>
      </c>
      <c r="B80" s="9" t="s">
        <v>887</v>
      </c>
      <c r="C80" s="9" t="s">
        <v>54</v>
      </c>
      <c r="D80" s="10" t="s">
        <v>1</v>
      </c>
      <c r="E80" s="9" t="s">
        <v>115</v>
      </c>
      <c r="F80" s="36" t="s">
        <v>99</v>
      </c>
      <c r="G80" s="9" t="s">
        <v>100</v>
      </c>
      <c r="H80" s="3" t="s">
        <v>128</v>
      </c>
      <c r="I80" s="9" t="s">
        <v>100</v>
      </c>
      <c r="J80" s="36" t="s">
        <v>101</v>
      </c>
      <c r="K80" s="10" t="s">
        <v>559</v>
      </c>
      <c r="L80" s="10" t="s">
        <v>559</v>
      </c>
      <c r="M80" s="9" t="s">
        <v>100</v>
      </c>
      <c r="N80" s="10" t="s">
        <v>465</v>
      </c>
      <c r="O80" s="9" t="s">
        <v>100</v>
      </c>
      <c r="P80" s="10"/>
      <c r="Q80" s="10" t="s">
        <v>465</v>
      </c>
      <c r="R80" s="10" t="s">
        <v>119</v>
      </c>
      <c r="S80" s="10" t="s">
        <v>130</v>
      </c>
      <c r="T80" s="10" t="s">
        <v>120</v>
      </c>
      <c r="U80" s="10" t="s">
        <v>101</v>
      </c>
      <c r="V80" s="10" t="s">
        <v>121</v>
      </c>
      <c r="W80" s="10" t="s">
        <v>122</v>
      </c>
      <c r="X80" s="10" t="s">
        <v>123</v>
      </c>
      <c r="Y80" s="29">
        <v>1</v>
      </c>
      <c r="Z80" s="138" t="s">
        <v>567</v>
      </c>
      <c r="AA80" s="138">
        <v>38604</v>
      </c>
      <c r="AB80" s="9" t="s">
        <v>114</v>
      </c>
      <c r="AC80" s="9" t="s">
        <v>124</v>
      </c>
      <c r="AD80" s="15">
        <v>44651</v>
      </c>
      <c r="AE80" s="39" t="s">
        <v>125</v>
      </c>
      <c r="AF80" s="177">
        <v>6</v>
      </c>
      <c r="AG80" s="140">
        <v>0</v>
      </c>
      <c r="AH80" s="9">
        <v>0</v>
      </c>
      <c r="AI80" s="10" t="s">
        <v>126</v>
      </c>
      <c r="AJ80" s="10"/>
      <c r="AK80" s="29"/>
      <c r="AL80" s="12">
        <v>1</v>
      </c>
      <c r="AM80" s="10"/>
      <c r="AN80" s="12">
        <f>FAR[[#This Row],[Opening RUL]]+FAR[[#This Row],[RUL Adjustment]]</f>
        <v>1</v>
      </c>
      <c r="AO80" s="12">
        <f>FAR[[#This Row],[Opening RUL 30 June 2026]]-1</f>
        <v>0</v>
      </c>
      <c r="AP80" s="12" t="s">
        <v>1050</v>
      </c>
      <c r="AQ80" s="139"/>
      <c r="AR80" s="10" t="s">
        <v>127</v>
      </c>
      <c r="AS80" s="13">
        <v>2052</v>
      </c>
      <c r="AT80" s="13"/>
      <c r="AU80" s="13">
        <v>0</v>
      </c>
      <c r="AV80" s="13">
        <v>0</v>
      </c>
      <c r="AW80" s="13">
        <v>0</v>
      </c>
      <c r="AX80" s="13">
        <v>2052</v>
      </c>
      <c r="AY80" s="13">
        <v>114</v>
      </c>
      <c r="AZ80" s="13">
        <v>0</v>
      </c>
      <c r="BA80" s="13"/>
      <c r="BB80" s="13"/>
      <c r="BC80" s="13">
        <v>-1938</v>
      </c>
      <c r="BD80" s="13"/>
      <c r="BE80" s="13" t="s">
        <v>114</v>
      </c>
      <c r="BF80" s="29"/>
      <c r="BG80" s="13"/>
      <c r="BH80" s="13">
        <f>-FAR[[#This Row],[Carrying value (opening balance)]]/FAR[[#This Row],[Opening RUL 30 June 2026]]</f>
        <v>-114</v>
      </c>
      <c r="BI80" s="13">
        <f>FAR[[#This Row],[Depreciation YTD]]/12</f>
        <v>-9.5</v>
      </c>
      <c r="BJ80" s="13"/>
      <c r="BK80" s="13" t="s">
        <v>116</v>
      </c>
      <c r="BL80" s="13">
        <v>0</v>
      </c>
      <c r="BM80" s="13">
        <f>FAR[[#This Row],[Accumulated depreciation (Opening balance)]]+FAR[[#This Row],[Depreciation YTD]]+FAR[[#This Row],[Derecognitions (acc dep) '[+']]]</f>
        <v>-2052</v>
      </c>
      <c r="BN80" s="13"/>
      <c r="BO80" s="13"/>
      <c r="BP80" s="13"/>
      <c r="BQ80" s="13"/>
      <c r="BR8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80" s="13">
        <f>FAR[[#This Row],[Cost Price (closing balance)]]+FAR[[#This Row],[Accumulated depreciation (Closing balance)]]+FAR[[#This Row],[Accumulated impairments (Closing balance)]]</f>
        <v>0</v>
      </c>
      <c r="BT80" s="13"/>
      <c r="BU80" s="13"/>
      <c r="BV80" s="13"/>
      <c r="BW80" s="10" t="s">
        <v>167</v>
      </c>
      <c r="BX80" s="9" t="s">
        <v>168</v>
      </c>
      <c r="BY80" s="10"/>
      <c r="BZ80" t="s">
        <v>976</v>
      </c>
      <c r="CA80"/>
      <c r="CB80" s="34"/>
      <c r="CC80" s="34"/>
      <c r="CD80" s="34"/>
      <c r="CE80" s="141"/>
    </row>
    <row r="81" spans="1:83">
      <c r="A81" s="35" t="s">
        <v>252</v>
      </c>
      <c r="B81" s="9" t="s">
        <v>864</v>
      </c>
      <c r="C81" s="9" t="s">
        <v>54</v>
      </c>
      <c r="D81" s="10" t="s">
        <v>1</v>
      </c>
      <c r="E81" s="9" t="s">
        <v>115</v>
      </c>
      <c r="F81" s="36" t="s">
        <v>99</v>
      </c>
      <c r="G81" s="9" t="s">
        <v>100</v>
      </c>
      <c r="H81" s="3" t="s">
        <v>128</v>
      </c>
      <c r="I81" s="9" t="s">
        <v>100</v>
      </c>
      <c r="J81" s="36" t="s">
        <v>101</v>
      </c>
      <c r="K81" s="10" t="s">
        <v>559</v>
      </c>
      <c r="L81" s="10" t="s">
        <v>559</v>
      </c>
      <c r="M81" s="9" t="s">
        <v>100</v>
      </c>
      <c r="N81" s="10" t="s">
        <v>465</v>
      </c>
      <c r="O81" s="9" t="s">
        <v>100</v>
      </c>
      <c r="P81" s="10"/>
      <c r="Q81" s="10" t="s">
        <v>465</v>
      </c>
      <c r="R81" s="10" t="s">
        <v>119</v>
      </c>
      <c r="S81" s="10" t="s">
        <v>130</v>
      </c>
      <c r="T81" s="10" t="s">
        <v>120</v>
      </c>
      <c r="U81" s="10" t="s">
        <v>101</v>
      </c>
      <c r="V81" s="10" t="s">
        <v>121</v>
      </c>
      <c r="W81" s="10" t="s">
        <v>122</v>
      </c>
      <c r="X81" s="10" t="s">
        <v>123</v>
      </c>
      <c r="Y81" s="29">
        <v>1</v>
      </c>
      <c r="Z81" s="138" t="s">
        <v>566</v>
      </c>
      <c r="AA81" s="138">
        <v>38611</v>
      </c>
      <c r="AB81" s="9" t="s">
        <v>114</v>
      </c>
      <c r="AC81" s="9" t="s">
        <v>124</v>
      </c>
      <c r="AD81" s="15">
        <v>44651</v>
      </c>
      <c r="AE81" s="39" t="s">
        <v>125</v>
      </c>
      <c r="AF81" s="177">
        <v>6</v>
      </c>
      <c r="AG81" s="140">
        <v>0</v>
      </c>
      <c r="AH81" s="9">
        <v>0</v>
      </c>
      <c r="AI81" s="10" t="s">
        <v>126</v>
      </c>
      <c r="AJ81" s="10"/>
      <c r="AK81" s="29"/>
      <c r="AL81" s="12">
        <v>1</v>
      </c>
      <c r="AM81" s="10"/>
      <c r="AN81" s="12">
        <f>FAR[[#This Row],[Opening RUL]]+FAR[[#This Row],[RUL Adjustment]]</f>
        <v>1</v>
      </c>
      <c r="AO81" s="12">
        <f>FAR[[#This Row],[Opening RUL 30 June 2026]]-1</f>
        <v>0</v>
      </c>
      <c r="AP81" s="12" t="s">
        <v>1050</v>
      </c>
      <c r="AQ81" s="139"/>
      <c r="AR81" s="10" t="s">
        <v>127</v>
      </c>
      <c r="AS81" s="13">
        <v>2052</v>
      </c>
      <c r="AT81" s="13"/>
      <c r="AU81" s="13">
        <v>0</v>
      </c>
      <c r="AV81" s="13">
        <v>0</v>
      </c>
      <c r="AW81" s="13">
        <v>0</v>
      </c>
      <c r="AX81" s="13">
        <v>2052</v>
      </c>
      <c r="AY81" s="13">
        <v>114</v>
      </c>
      <c r="AZ81" s="13">
        <v>0</v>
      </c>
      <c r="BA81" s="13"/>
      <c r="BB81" s="13"/>
      <c r="BC81" s="13">
        <v>-1938</v>
      </c>
      <c r="BD81" s="13"/>
      <c r="BE81" s="13" t="s">
        <v>114</v>
      </c>
      <c r="BF81" s="29"/>
      <c r="BG81" s="13"/>
      <c r="BH81" s="13">
        <f>-FAR[[#This Row],[Carrying value (opening balance)]]/FAR[[#This Row],[Opening RUL 30 June 2026]]</f>
        <v>-114</v>
      </c>
      <c r="BI81" s="13">
        <f>FAR[[#This Row],[Depreciation YTD]]/12</f>
        <v>-9.5</v>
      </c>
      <c r="BJ81" s="13"/>
      <c r="BK81" s="13" t="s">
        <v>116</v>
      </c>
      <c r="BL81" s="13">
        <v>0</v>
      </c>
      <c r="BM81" s="13">
        <f>FAR[[#This Row],[Accumulated depreciation (Opening balance)]]+FAR[[#This Row],[Depreciation YTD]]+FAR[[#This Row],[Derecognitions (acc dep) '[+']]]</f>
        <v>-2052</v>
      </c>
      <c r="BN81" s="13"/>
      <c r="BO81" s="13"/>
      <c r="BP81" s="13"/>
      <c r="BQ81" s="13"/>
      <c r="BR8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81" s="13">
        <f>FAR[[#This Row],[Cost Price (closing balance)]]+FAR[[#This Row],[Accumulated depreciation (Closing balance)]]+FAR[[#This Row],[Accumulated impairments (Closing balance)]]</f>
        <v>0</v>
      </c>
      <c r="BT81" s="13"/>
      <c r="BU81" s="13"/>
      <c r="BV81" s="13"/>
      <c r="BW81" s="10" t="s">
        <v>167</v>
      </c>
      <c r="BX81" s="9" t="s">
        <v>168</v>
      </c>
      <c r="BY81" s="10"/>
      <c r="BZ81" t="s">
        <v>948</v>
      </c>
      <c r="CA81"/>
      <c r="CB81" s="34"/>
      <c r="CC81" s="34"/>
      <c r="CD81" s="34"/>
      <c r="CE81" s="141"/>
    </row>
    <row r="82" spans="1:83">
      <c r="A82" s="35" t="s">
        <v>253</v>
      </c>
      <c r="B82" s="9" t="s">
        <v>888</v>
      </c>
      <c r="C82" s="9" t="s">
        <v>54</v>
      </c>
      <c r="D82" s="10" t="s">
        <v>1</v>
      </c>
      <c r="E82" s="9" t="s">
        <v>115</v>
      </c>
      <c r="F82" s="36" t="s">
        <v>99</v>
      </c>
      <c r="G82" s="9" t="s">
        <v>100</v>
      </c>
      <c r="H82" s="3" t="s">
        <v>128</v>
      </c>
      <c r="I82" s="9" t="s">
        <v>100</v>
      </c>
      <c r="J82" s="36" t="s">
        <v>101</v>
      </c>
      <c r="K82" s="10" t="s">
        <v>559</v>
      </c>
      <c r="L82" s="10" t="s">
        <v>559</v>
      </c>
      <c r="M82" s="9" t="s">
        <v>100</v>
      </c>
      <c r="N82" s="10" t="s">
        <v>465</v>
      </c>
      <c r="O82" s="9" t="s">
        <v>100</v>
      </c>
      <c r="P82" s="10"/>
      <c r="Q82" s="10" t="s">
        <v>465</v>
      </c>
      <c r="R82" s="10" t="s">
        <v>119</v>
      </c>
      <c r="S82" s="10" t="s">
        <v>130</v>
      </c>
      <c r="T82" s="10" t="s">
        <v>120</v>
      </c>
      <c r="U82" s="10" t="s">
        <v>101</v>
      </c>
      <c r="V82" s="10" t="s">
        <v>121</v>
      </c>
      <c r="W82" s="10" t="s">
        <v>122</v>
      </c>
      <c r="X82" s="10" t="s">
        <v>123</v>
      </c>
      <c r="Y82" s="29">
        <v>1</v>
      </c>
      <c r="Z82" s="138" t="s">
        <v>566</v>
      </c>
      <c r="AA82" s="138">
        <v>38611</v>
      </c>
      <c r="AB82" s="9" t="s">
        <v>114</v>
      </c>
      <c r="AC82" s="9" t="s">
        <v>124</v>
      </c>
      <c r="AD82" s="15">
        <v>44651</v>
      </c>
      <c r="AE82" s="39" t="s">
        <v>125</v>
      </c>
      <c r="AF82" s="177">
        <v>6</v>
      </c>
      <c r="AG82" s="140">
        <v>0</v>
      </c>
      <c r="AH82" s="9">
        <v>0</v>
      </c>
      <c r="AI82" s="10" t="s">
        <v>126</v>
      </c>
      <c r="AJ82" s="10"/>
      <c r="AK82" s="29"/>
      <c r="AL82" s="12">
        <v>1</v>
      </c>
      <c r="AM82" s="10"/>
      <c r="AN82" s="12">
        <f>FAR[[#This Row],[Opening RUL]]+FAR[[#This Row],[RUL Adjustment]]</f>
        <v>1</v>
      </c>
      <c r="AO82" s="12">
        <f>FAR[[#This Row],[Opening RUL 30 June 2026]]-1</f>
        <v>0</v>
      </c>
      <c r="AP82" s="12" t="s">
        <v>1050</v>
      </c>
      <c r="AQ82" s="139"/>
      <c r="AR82" s="10" t="s">
        <v>127</v>
      </c>
      <c r="AS82" s="13">
        <v>2052</v>
      </c>
      <c r="AT82" s="13"/>
      <c r="AU82" s="13">
        <v>0</v>
      </c>
      <c r="AV82" s="13">
        <v>0</v>
      </c>
      <c r="AW82" s="13">
        <v>0</v>
      </c>
      <c r="AX82" s="13">
        <v>2052</v>
      </c>
      <c r="AY82" s="13">
        <v>114</v>
      </c>
      <c r="AZ82" s="13">
        <v>0</v>
      </c>
      <c r="BA82" s="13"/>
      <c r="BB82" s="13"/>
      <c r="BC82" s="13">
        <v>-1938</v>
      </c>
      <c r="BD82" s="13"/>
      <c r="BE82" s="13" t="s">
        <v>114</v>
      </c>
      <c r="BF82" s="29"/>
      <c r="BG82" s="13"/>
      <c r="BH82" s="13">
        <f>-FAR[[#This Row],[Carrying value (opening balance)]]/FAR[[#This Row],[Opening RUL 30 June 2026]]</f>
        <v>-114</v>
      </c>
      <c r="BI82" s="13">
        <f>FAR[[#This Row],[Depreciation YTD]]/12</f>
        <v>-9.5</v>
      </c>
      <c r="BJ82" s="13"/>
      <c r="BK82" s="13" t="s">
        <v>116</v>
      </c>
      <c r="BL82" s="13">
        <v>0</v>
      </c>
      <c r="BM82" s="13">
        <f>FAR[[#This Row],[Accumulated depreciation (Opening balance)]]+FAR[[#This Row],[Depreciation YTD]]+FAR[[#This Row],[Derecognitions (acc dep) '[+']]]</f>
        <v>-2052</v>
      </c>
      <c r="BN82" s="13"/>
      <c r="BO82" s="13"/>
      <c r="BP82" s="13"/>
      <c r="BQ82" s="13"/>
      <c r="BR8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82" s="13">
        <f>FAR[[#This Row],[Cost Price (closing balance)]]+FAR[[#This Row],[Accumulated depreciation (Closing balance)]]+FAR[[#This Row],[Accumulated impairments (Closing balance)]]</f>
        <v>0</v>
      </c>
      <c r="BT82" s="13"/>
      <c r="BU82" s="13"/>
      <c r="BV82" s="13"/>
      <c r="BW82" s="10" t="s">
        <v>167</v>
      </c>
      <c r="BX82" s="9" t="s">
        <v>168</v>
      </c>
      <c r="BY82" s="10"/>
      <c r="BZ82" t="s">
        <v>977</v>
      </c>
      <c r="CA82"/>
      <c r="CB82" s="34"/>
      <c r="CC82" s="34"/>
      <c r="CD82" s="34"/>
      <c r="CE82" s="141"/>
    </row>
    <row r="83" spans="1:83">
      <c r="A83" s="35" t="s">
        <v>254</v>
      </c>
      <c r="B83" s="9" t="s">
        <v>879</v>
      </c>
      <c r="C83" s="9" t="s">
        <v>54</v>
      </c>
      <c r="D83" s="10" t="s">
        <v>1</v>
      </c>
      <c r="E83" s="9" t="s">
        <v>115</v>
      </c>
      <c r="F83" s="36" t="s">
        <v>99</v>
      </c>
      <c r="G83" s="9" t="s">
        <v>100</v>
      </c>
      <c r="H83" s="3" t="s">
        <v>128</v>
      </c>
      <c r="I83" s="9" t="s">
        <v>100</v>
      </c>
      <c r="J83" s="36" t="s">
        <v>101</v>
      </c>
      <c r="K83" s="10" t="s">
        <v>559</v>
      </c>
      <c r="L83" s="10" t="s">
        <v>559</v>
      </c>
      <c r="M83" s="9" t="s">
        <v>100</v>
      </c>
      <c r="N83" s="10" t="s">
        <v>465</v>
      </c>
      <c r="O83" s="9" t="s">
        <v>100</v>
      </c>
      <c r="P83" s="10"/>
      <c r="Q83" s="10" t="s">
        <v>465</v>
      </c>
      <c r="R83" s="10" t="s">
        <v>119</v>
      </c>
      <c r="S83" s="10" t="s">
        <v>130</v>
      </c>
      <c r="T83" s="10" t="s">
        <v>120</v>
      </c>
      <c r="U83" s="10" t="s">
        <v>101</v>
      </c>
      <c r="V83" s="10" t="s">
        <v>121</v>
      </c>
      <c r="W83" s="10" t="s">
        <v>122</v>
      </c>
      <c r="X83" s="10" t="s">
        <v>123</v>
      </c>
      <c r="Y83" s="29">
        <v>1</v>
      </c>
      <c r="Z83" s="138" t="s">
        <v>566</v>
      </c>
      <c r="AA83" s="138">
        <v>38611</v>
      </c>
      <c r="AB83" s="9" t="s">
        <v>114</v>
      </c>
      <c r="AC83" s="9" t="s">
        <v>124</v>
      </c>
      <c r="AD83" s="15">
        <v>44651</v>
      </c>
      <c r="AE83" s="39" t="s">
        <v>125</v>
      </c>
      <c r="AF83" s="177">
        <v>6</v>
      </c>
      <c r="AG83" s="140">
        <v>0</v>
      </c>
      <c r="AH83" s="9">
        <v>0</v>
      </c>
      <c r="AI83" s="10" t="s">
        <v>126</v>
      </c>
      <c r="AJ83" s="10"/>
      <c r="AK83" s="29"/>
      <c r="AL83" s="12">
        <v>1</v>
      </c>
      <c r="AM83" s="10"/>
      <c r="AN83" s="12">
        <f>FAR[[#This Row],[Opening RUL]]+FAR[[#This Row],[RUL Adjustment]]</f>
        <v>1</v>
      </c>
      <c r="AO83" s="12">
        <f>FAR[[#This Row],[Opening RUL 30 June 2026]]-1</f>
        <v>0</v>
      </c>
      <c r="AP83" s="12" t="s">
        <v>1050</v>
      </c>
      <c r="AQ83" s="139"/>
      <c r="AR83" s="10" t="s">
        <v>127</v>
      </c>
      <c r="AS83" s="13">
        <v>2052</v>
      </c>
      <c r="AT83" s="13"/>
      <c r="AU83" s="13">
        <v>0</v>
      </c>
      <c r="AV83" s="13">
        <v>0</v>
      </c>
      <c r="AW83" s="13">
        <v>0</v>
      </c>
      <c r="AX83" s="13">
        <v>2052</v>
      </c>
      <c r="AY83" s="13">
        <v>114</v>
      </c>
      <c r="AZ83" s="13">
        <v>0</v>
      </c>
      <c r="BA83" s="13"/>
      <c r="BB83" s="13"/>
      <c r="BC83" s="13">
        <v>-1938</v>
      </c>
      <c r="BD83" s="13"/>
      <c r="BE83" s="13" t="s">
        <v>114</v>
      </c>
      <c r="BF83" s="29"/>
      <c r="BG83" s="13"/>
      <c r="BH83" s="13">
        <f>-FAR[[#This Row],[Carrying value (opening balance)]]/FAR[[#This Row],[Opening RUL 30 June 2026]]</f>
        <v>-114</v>
      </c>
      <c r="BI83" s="13">
        <f>FAR[[#This Row],[Depreciation YTD]]/12</f>
        <v>-9.5</v>
      </c>
      <c r="BJ83" s="13"/>
      <c r="BK83" s="13" t="s">
        <v>116</v>
      </c>
      <c r="BL83" s="13">
        <v>0</v>
      </c>
      <c r="BM83" s="13">
        <f>FAR[[#This Row],[Accumulated depreciation (Opening balance)]]+FAR[[#This Row],[Depreciation YTD]]+FAR[[#This Row],[Derecognitions (acc dep) '[+']]]</f>
        <v>-2052</v>
      </c>
      <c r="BN83" s="13"/>
      <c r="BO83" s="13"/>
      <c r="BP83" s="13"/>
      <c r="BQ83" s="13"/>
      <c r="BR8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83" s="13">
        <f>FAR[[#This Row],[Cost Price (closing balance)]]+FAR[[#This Row],[Accumulated depreciation (Closing balance)]]+FAR[[#This Row],[Accumulated impairments (Closing balance)]]</f>
        <v>0</v>
      </c>
      <c r="BT83" s="13"/>
      <c r="BU83" s="13"/>
      <c r="BV83" s="13"/>
      <c r="BW83" s="10" t="s">
        <v>167</v>
      </c>
      <c r="BX83" s="9" t="s">
        <v>168</v>
      </c>
      <c r="BY83" s="10"/>
      <c r="BZ83" t="s">
        <v>964</v>
      </c>
      <c r="CA83"/>
      <c r="CB83" s="34"/>
      <c r="CC83" s="34"/>
      <c r="CD83" s="34"/>
      <c r="CE83" s="141"/>
    </row>
    <row r="84" spans="1:83">
      <c r="A84" s="35" t="s">
        <v>255</v>
      </c>
      <c r="B84" s="9" t="s">
        <v>881</v>
      </c>
      <c r="C84" s="9" t="s">
        <v>54</v>
      </c>
      <c r="D84" s="10" t="s">
        <v>1</v>
      </c>
      <c r="E84" s="9" t="s">
        <v>115</v>
      </c>
      <c r="F84" s="36" t="s">
        <v>99</v>
      </c>
      <c r="G84" s="9" t="s">
        <v>100</v>
      </c>
      <c r="H84" s="3" t="s">
        <v>128</v>
      </c>
      <c r="I84" s="9" t="s">
        <v>100</v>
      </c>
      <c r="J84" s="36" t="s">
        <v>101</v>
      </c>
      <c r="K84" s="10" t="s">
        <v>559</v>
      </c>
      <c r="L84" s="10" t="s">
        <v>559</v>
      </c>
      <c r="M84" s="9" t="s">
        <v>100</v>
      </c>
      <c r="N84" s="10" t="s">
        <v>465</v>
      </c>
      <c r="O84" s="9" t="s">
        <v>100</v>
      </c>
      <c r="P84" s="10"/>
      <c r="Q84" s="10" t="s">
        <v>465</v>
      </c>
      <c r="R84" s="10" t="s">
        <v>119</v>
      </c>
      <c r="S84" s="10" t="s">
        <v>130</v>
      </c>
      <c r="T84" s="10" t="s">
        <v>120</v>
      </c>
      <c r="U84" s="10" t="s">
        <v>101</v>
      </c>
      <c r="V84" s="10" t="s">
        <v>121</v>
      </c>
      <c r="W84" s="10" t="s">
        <v>122</v>
      </c>
      <c r="X84" s="10" t="s">
        <v>123</v>
      </c>
      <c r="Y84" s="29">
        <v>1</v>
      </c>
      <c r="Z84" s="138" t="s">
        <v>566</v>
      </c>
      <c r="AA84" s="138">
        <v>38611</v>
      </c>
      <c r="AB84" s="9" t="s">
        <v>114</v>
      </c>
      <c r="AC84" s="9" t="s">
        <v>124</v>
      </c>
      <c r="AD84" s="15">
        <v>44651</v>
      </c>
      <c r="AE84" s="39" t="s">
        <v>125</v>
      </c>
      <c r="AF84" s="177">
        <v>6</v>
      </c>
      <c r="AG84" s="140">
        <v>0</v>
      </c>
      <c r="AH84" s="9">
        <v>0</v>
      </c>
      <c r="AI84" s="10" t="s">
        <v>126</v>
      </c>
      <c r="AJ84" s="10"/>
      <c r="AK84" s="29"/>
      <c r="AL84" s="12">
        <v>1</v>
      </c>
      <c r="AM84" s="10"/>
      <c r="AN84" s="12">
        <f>FAR[[#This Row],[Opening RUL]]+FAR[[#This Row],[RUL Adjustment]]</f>
        <v>1</v>
      </c>
      <c r="AO84" s="12">
        <f>FAR[[#This Row],[Opening RUL 30 June 2026]]-1</f>
        <v>0</v>
      </c>
      <c r="AP84" s="12" t="s">
        <v>1050</v>
      </c>
      <c r="AQ84" s="139"/>
      <c r="AR84" s="10" t="s">
        <v>127</v>
      </c>
      <c r="AS84" s="13">
        <v>2052</v>
      </c>
      <c r="AT84" s="13"/>
      <c r="AU84" s="13">
        <v>0</v>
      </c>
      <c r="AV84" s="13">
        <v>0</v>
      </c>
      <c r="AW84" s="13">
        <v>0</v>
      </c>
      <c r="AX84" s="13">
        <v>2052</v>
      </c>
      <c r="AY84" s="13">
        <v>114</v>
      </c>
      <c r="AZ84" s="13">
        <v>0</v>
      </c>
      <c r="BA84" s="13"/>
      <c r="BB84" s="13"/>
      <c r="BC84" s="13">
        <v>-1938</v>
      </c>
      <c r="BD84" s="13"/>
      <c r="BE84" s="13" t="s">
        <v>114</v>
      </c>
      <c r="BF84" s="29"/>
      <c r="BG84" s="13"/>
      <c r="BH84" s="13">
        <f>-FAR[[#This Row],[Carrying value (opening balance)]]/FAR[[#This Row],[Opening RUL 30 June 2026]]</f>
        <v>-114</v>
      </c>
      <c r="BI84" s="13">
        <f>FAR[[#This Row],[Depreciation YTD]]/12</f>
        <v>-9.5</v>
      </c>
      <c r="BJ84" s="13"/>
      <c r="BK84" s="13" t="s">
        <v>116</v>
      </c>
      <c r="BL84" s="13">
        <v>0</v>
      </c>
      <c r="BM84" s="13">
        <f>FAR[[#This Row],[Accumulated depreciation (Opening balance)]]+FAR[[#This Row],[Depreciation YTD]]+FAR[[#This Row],[Derecognitions (acc dep) '[+']]]</f>
        <v>-2052</v>
      </c>
      <c r="BN84" s="13"/>
      <c r="BO84" s="13"/>
      <c r="BP84" s="13"/>
      <c r="BQ84" s="13"/>
      <c r="BR8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84" s="13">
        <f>FAR[[#This Row],[Cost Price (closing balance)]]+FAR[[#This Row],[Accumulated depreciation (Closing balance)]]+FAR[[#This Row],[Accumulated impairments (Closing balance)]]</f>
        <v>0</v>
      </c>
      <c r="BT84" s="13"/>
      <c r="BU84" s="13"/>
      <c r="BV84" s="13"/>
      <c r="BW84" s="10" t="s">
        <v>167</v>
      </c>
      <c r="BX84" s="9" t="s">
        <v>168</v>
      </c>
      <c r="BY84" s="10"/>
      <c r="BZ84" t="s">
        <v>940</v>
      </c>
      <c r="CA84"/>
      <c r="CB84" s="34"/>
      <c r="CC84" s="34"/>
      <c r="CD84" s="34"/>
      <c r="CE84" s="141"/>
    </row>
    <row r="85" spans="1:83">
      <c r="A85" s="35" t="s">
        <v>256</v>
      </c>
      <c r="B85" s="9" t="s">
        <v>889</v>
      </c>
      <c r="C85" s="9" t="s">
        <v>54</v>
      </c>
      <c r="D85" s="10" t="s">
        <v>1</v>
      </c>
      <c r="E85" s="9" t="s">
        <v>115</v>
      </c>
      <c r="F85" s="36" t="s">
        <v>99</v>
      </c>
      <c r="G85" s="9" t="s">
        <v>100</v>
      </c>
      <c r="H85" s="3" t="s">
        <v>128</v>
      </c>
      <c r="I85" s="9" t="s">
        <v>100</v>
      </c>
      <c r="J85" s="36" t="s">
        <v>101</v>
      </c>
      <c r="K85" s="10" t="s">
        <v>559</v>
      </c>
      <c r="L85" s="10" t="s">
        <v>559</v>
      </c>
      <c r="M85" s="9" t="s">
        <v>100</v>
      </c>
      <c r="N85" s="10" t="s">
        <v>465</v>
      </c>
      <c r="O85" s="9" t="s">
        <v>100</v>
      </c>
      <c r="P85" s="10"/>
      <c r="Q85" s="10" t="s">
        <v>465</v>
      </c>
      <c r="R85" s="10" t="s">
        <v>119</v>
      </c>
      <c r="S85" s="10" t="s">
        <v>130</v>
      </c>
      <c r="T85" s="10" t="s">
        <v>120</v>
      </c>
      <c r="U85" s="10" t="s">
        <v>101</v>
      </c>
      <c r="V85" s="10" t="s">
        <v>121</v>
      </c>
      <c r="W85" s="10" t="s">
        <v>122</v>
      </c>
      <c r="X85" s="10" t="s">
        <v>123</v>
      </c>
      <c r="Y85" s="29">
        <v>1</v>
      </c>
      <c r="Z85" s="138" t="s">
        <v>566</v>
      </c>
      <c r="AA85" s="138">
        <v>38611</v>
      </c>
      <c r="AB85" s="9" t="s">
        <v>114</v>
      </c>
      <c r="AC85" s="9" t="s">
        <v>124</v>
      </c>
      <c r="AD85" s="15">
        <v>44651</v>
      </c>
      <c r="AE85" s="39" t="s">
        <v>125</v>
      </c>
      <c r="AF85" s="177">
        <v>6</v>
      </c>
      <c r="AG85" s="140">
        <v>0</v>
      </c>
      <c r="AH85" s="9">
        <v>0</v>
      </c>
      <c r="AI85" s="10" t="s">
        <v>126</v>
      </c>
      <c r="AJ85" s="10"/>
      <c r="AK85" s="29"/>
      <c r="AL85" s="12">
        <v>1</v>
      </c>
      <c r="AM85" s="10"/>
      <c r="AN85" s="12">
        <f>FAR[[#This Row],[Opening RUL]]+FAR[[#This Row],[RUL Adjustment]]</f>
        <v>1</v>
      </c>
      <c r="AO85" s="12">
        <f>FAR[[#This Row],[Opening RUL 30 June 2026]]-1</f>
        <v>0</v>
      </c>
      <c r="AP85" s="12" t="s">
        <v>1050</v>
      </c>
      <c r="AQ85" s="139"/>
      <c r="AR85" s="10" t="s">
        <v>127</v>
      </c>
      <c r="AS85" s="13">
        <v>2052</v>
      </c>
      <c r="AT85" s="13"/>
      <c r="AU85" s="13">
        <v>0</v>
      </c>
      <c r="AV85" s="13">
        <v>0</v>
      </c>
      <c r="AW85" s="13">
        <v>0</v>
      </c>
      <c r="AX85" s="13">
        <v>2052</v>
      </c>
      <c r="AY85" s="13">
        <v>114</v>
      </c>
      <c r="AZ85" s="13">
        <v>0</v>
      </c>
      <c r="BA85" s="13"/>
      <c r="BB85" s="13"/>
      <c r="BC85" s="13">
        <v>-1938</v>
      </c>
      <c r="BD85" s="13"/>
      <c r="BE85" s="13" t="s">
        <v>114</v>
      </c>
      <c r="BF85" s="29"/>
      <c r="BG85" s="13"/>
      <c r="BH85" s="13">
        <f>-FAR[[#This Row],[Carrying value (opening balance)]]/FAR[[#This Row],[Opening RUL 30 June 2026]]</f>
        <v>-114</v>
      </c>
      <c r="BI85" s="13">
        <f>FAR[[#This Row],[Depreciation YTD]]/12</f>
        <v>-9.5</v>
      </c>
      <c r="BJ85" s="13"/>
      <c r="BK85" s="13" t="s">
        <v>116</v>
      </c>
      <c r="BL85" s="13">
        <v>0</v>
      </c>
      <c r="BM85" s="13">
        <f>FAR[[#This Row],[Accumulated depreciation (Opening balance)]]+FAR[[#This Row],[Depreciation YTD]]+FAR[[#This Row],[Derecognitions (acc dep) '[+']]]</f>
        <v>-2052</v>
      </c>
      <c r="BN85" s="13"/>
      <c r="BO85" s="13"/>
      <c r="BP85" s="13"/>
      <c r="BQ85" s="13"/>
      <c r="BR8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85" s="13">
        <f>FAR[[#This Row],[Cost Price (closing balance)]]+FAR[[#This Row],[Accumulated depreciation (Closing balance)]]+FAR[[#This Row],[Accumulated impairments (Closing balance)]]</f>
        <v>0</v>
      </c>
      <c r="BT85" s="13"/>
      <c r="BU85" s="13"/>
      <c r="BV85" s="13"/>
      <c r="BW85" s="10" t="s">
        <v>167</v>
      </c>
      <c r="BX85" s="9" t="s">
        <v>168</v>
      </c>
      <c r="BY85" s="10"/>
      <c r="BZ85" t="s">
        <v>978</v>
      </c>
      <c r="CA85"/>
      <c r="CB85" s="34"/>
      <c r="CC85" s="34"/>
      <c r="CD85" s="34"/>
      <c r="CE85" s="141"/>
    </row>
    <row r="86" spans="1:83">
      <c r="A86" s="35" t="s">
        <v>257</v>
      </c>
      <c r="B86" s="9" t="s">
        <v>890</v>
      </c>
      <c r="C86" s="9" t="s">
        <v>54</v>
      </c>
      <c r="D86" s="10" t="s">
        <v>1</v>
      </c>
      <c r="E86" s="9" t="s">
        <v>115</v>
      </c>
      <c r="F86" s="36" t="s">
        <v>99</v>
      </c>
      <c r="G86" s="9" t="s">
        <v>100</v>
      </c>
      <c r="H86" s="3" t="s">
        <v>128</v>
      </c>
      <c r="I86" s="9" t="s">
        <v>100</v>
      </c>
      <c r="J86" s="36" t="s">
        <v>101</v>
      </c>
      <c r="K86" s="10" t="s">
        <v>559</v>
      </c>
      <c r="L86" s="10" t="s">
        <v>559</v>
      </c>
      <c r="M86" s="9" t="s">
        <v>100</v>
      </c>
      <c r="N86" s="10" t="s">
        <v>465</v>
      </c>
      <c r="O86" s="9" t="s">
        <v>100</v>
      </c>
      <c r="P86" s="10"/>
      <c r="Q86" s="10" t="s">
        <v>465</v>
      </c>
      <c r="R86" s="10" t="s">
        <v>119</v>
      </c>
      <c r="S86" s="10" t="s">
        <v>130</v>
      </c>
      <c r="T86" s="10" t="s">
        <v>120</v>
      </c>
      <c r="U86" s="10" t="s">
        <v>101</v>
      </c>
      <c r="V86" s="10" t="s">
        <v>121</v>
      </c>
      <c r="W86" s="10" t="s">
        <v>122</v>
      </c>
      <c r="X86" s="10" t="s">
        <v>123</v>
      </c>
      <c r="Y86" s="29">
        <v>1</v>
      </c>
      <c r="Z86" s="138" t="s">
        <v>566</v>
      </c>
      <c r="AA86" s="138">
        <v>38611</v>
      </c>
      <c r="AB86" s="9" t="s">
        <v>114</v>
      </c>
      <c r="AC86" s="9" t="s">
        <v>124</v>
      </c>
      <c r="AD86" s="15">
        <v>44651</v>
      </c>
      <c r="AE86" s="39" t="s">
        <v>125</v>
      </c>
      <c r="AF86" s="177">
        <v>6</v>
      </c>
      <c r="AG86" s="140">
        <v>0</v>
      </c>
      <c r="AH86" s="9">
        <v>0</v>
      </c>
      <c r="AI86" s="10" t="s">
        <v>126</v>
      </c>
      <c r="AJ86" s="10"/>
      <c r="AK86" s="29"/>
      <c r="AL86" s="12">
        <v>1</v>
      </c>
      <c r="AM86" s="10"/>
      <c r="AN86" s="12">
        <f>FAR[[#This Row],[Opening RUL]]+FAR[[#This Row],[RUL Adjustment]]</f>
        <v>1</v>
      </c>
      <c r="AO86" s="12">
        <f>FAR[[#This Row],[Opening RUL 30 June 2026]]-1</f>
        <v>0</v>
      </c>
      <c r="AP86" s="12" t="s">
        <v>1050</v>
      </c>
      <c r="AQ86" s="139"/>
      <c r="AR86" s="10" t="s">
        <v>127</v>
      </c>
      <c r="AS86" s="13">
        <v>2052</v>
      </c>
      <c r="AT86" s="13"/>
      <c r="AU86" s="13">
        <v>0</v>
      </c>
      <c r="AV86" s="13">
        <v>0</v>
      </c>
      <c r="AW86" s="13">
        <v>0</v>
      </c>
      <c r="AX86" s="13">
        <v>2052</v>
      </c>
      <c r="AY86" s="13">
        <v>114</v>
      </c>
      <c r="AZ86" s="13">
        <v>0</v>
      </c>
      <c r="BA86" s="13"/>
      <c r="BB86" s="13"/>
      <c r="BC86" s="13">
        <v>-1938</v>
      </c>
      <c r="BD86" s="13"/>
      <c r="BE86" s="13" t="s">
        <v>114</v>
      </c>
      <c r="BF86" s="29"/>
      <c r="BG86" s="13"/>
      <c r="BH86" s="13">
        <f>-FAR[[#This Row],[Carrying value (opening balance)]]/FAR[[#This Row],[Opening RUL 30 June 2026]]</f>
        <v>-114</v>
      </c>
      <c r="BI86" s="13">
        <f>FAR[[#This Row],[Depreciation YTD]]/12</f>
        <v>-9.5</v>
      </c>
      <c r="BJ86" s="13"/>
      <c r="BK86" s="13" t="s">
        <v>116</v>
      </c>
      <c r="BL86" s="13">
        <v>0</v>
      </c>
      <c r="BM86" s="13">
        <f>FAR[[#This Row],[Accumulated depreciation (Opening balance)]]+FAR[[#This Row],[Depreciation YTD]]+FAR[[#This Row],[Derecognitions (acc dep) '[+']]]</f>
        <v>-2052</v>
      </c>
      <c r="BN86" s="13"/>
      <c r="BO86" s="13"/>
      <c r="BP86" s="13"/>
      <c r="BQ86" s="13"/>
      <c r="BR8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86" s="13">
        <f>FAR[[#This Row],[Cost Price (closing balance)]]+FAR[[#This Row],[Accumulated depreciation (Closing balance)]]+FAR[[#This Row],[Accumulated impairments (Closing balance)]]</f>
        <v>0</v>
      </c>
      <c r="BT86" s="13"/>
      <c r="BU86" s="13"/>
      <c r="BV86" s="13"/>
      <c r="BW86" s="10" t="s">
        <v>167</v>
      </c>
      <c r="BX86" s="9" t="s">
        <v>168</v>
      </c>
      <c r="BY86" s="10"/>
      <c r="BZ86" t="s">
        <v>940</v>
      </c>
      <c r="CA86"/>
      <c r="CB86" s="34"/>
      <c r="CC86" s="34"/>
      <c r="CD86" s="34"/>
      <c r="CE86" s="141"/>
    </row>
    <row r="87" spans="1:83">
      <c r="A87" s="35" t="s">
        <v>258</v>
      </c>
      <c r="B87" s="9" t="s">
        <v>891</v>
      </c>
      <c r="C87" s="9" t="s">
        <v>54</v>
      </c>
      <c r="D87" s="10" t="s">
        <v>1</v>
      </c>
      <c r="E87" s="9" t="s">
        <v>115</v>
      </c>
      <c r="F87" s="36" t="s">
        <v>99</v>
      </c>
      <c r="G87" s="9" t="s">
        <v>100</v>
      </c>
      <c r="H87" s="3" t="s">
        <v>128</v>
      </c>
      <c r="I87" s="9" t="s">
        <v>100</v>
      </c>
      <c r="J87" s="36" t="s">
        <v>101</v>
      </c>
      <c r="K87" s="10" t="s">
        <v>559</v>
      </c>
      <c r="L87" s="10" t="s">
        <v>559</v>
      </c>
      <c r="M87" s="9" t="s">
        <v>100</v>
      </c>
      <c r="N87" s="10" t="s">
        <v>465</v>
      </c>
      <c r="O87" s="9" t="s">
        <v>100</v>
      </c>
      <c r="P87" s="10"/>
      <c r="Q87" s="10" t="s">
        <v>465</v>
      </c>
      <c r="R87" s="10" t="s">
        <v>119</v>
      </c>
      <c r="S87" s="10" t="s">
        <v>130</v>
      </c>
      <c r="T87" s="10" t="s">
        <v>120</v>
      </c>
      <c r="U87" s="10" t="s">
        <v>101</v>
      </c>
      <c r="V87" s="10" t="s">
        <v>121</v>
      </c>
      <c r="W87" s="10" t="s">
        <v>122</v>
      </c>
      <c r="X87" s="10" t="s">
        <v>123</v>
      </c>
      <c r="Y87" s="29">
        <v>1</v>
      </c>
      <c r="Z87" s="138" t="s">
        <v>566</v>
      </c>
      <c r="AA87" s="138">
        <v>38611</v>
      </c>
      <c r="AB87" s="9" t="s">
        <v>114</v>
      </c>
      <c r="AC87" s="9" t="s">
        <v>124</v>
      </c>
      <c r="AD87" s="15">
        <v>44651</v>
      </c>
      <c r="AE87" s="39" t="s">
        <v>125</v>
      </c>
      <c r="AF87" s="177">
        <v>6</v>
      </c>
      <c r="AG87" s="140">
        <v>0</v>
      </c>
      <c r="AH87" s="9">
        <v>0</v>
      </c>
      <c r="AI87" s="10" t="s">
        <v>126</v>
      </c>
      <c r="AJ87" s="10"/>
      <c r="AK87" s="29"/>
      <c r="AL87" s="12">
        <v>1</v>
      </c>
      <c r="AM87" s="10"/>
      <c r="AN87" s="12">
        <f>FAR[[#This Row],[Opening RUL]]+FAR[[#This Row],[RUL Adjustment]]</f>
        <v>1</v>
      </c>
      <c r="AO87" s="12">
        <f>FAR[[#This Row],[Opening RUL 30 June 2026]]-1</f>
        <v>0</v>
      </c>
      <c r="AP87" s="12" t="s">
        <v>1050</v>
      </c>
      <c r="AQ87" s="139"/>
      <c r="AR87" s="10" t="s">
        <v>127</v>
      </c>
      <c r="AS87" s="13">
        <v>2052</v>
      </c>
      <c r="AT87" s="13"/>
      <c r="AU87" s="13">
        <v>0</v>
      </c>
      <c r="AV87" s="13">
        <v>0</v>
      </c>
      <c r="AW87" s="13">
        <v>0</v>
      </c>
      <c r="AX87" s="13">
        <v>2052</v>
      </c>
      <c r="AY87" s="13">
        <v>114</v>
      </c>
      <c r="AZ87" s="13">
        <v>0</v>
      </c>
      <c r="BA87" s="13"/>
      <c r="BB87" s="13"/>
      <c r="BC87" s="13">
        <v>-1938</v>
      </c>
      <c r="BD87" s="13"/>
      <c r="BE87" s="13" t="s">
        <v>114</v>
      </c>
      <c r="BF87" s="29"/>
      <c r="BG87" s="13"/>
      <c r="BH87" s="13">
        <f>-FAR[[#This Row],[Carrying value (opening balance)]]/FAR[[#This Row],[Opening RUL 30 June 2026]]</f>
        <v>-114</v>
      </c>
      <c r="BI87" s="13">
        <f>FAR[[#This Row],[Depreciation YTD]]/12</f>
        <v>-9.5</v>
      </c>
      <c r="BJ87" s="13"/>
      <c r="BK87" s="13" t="s">
        <v>116</v>
      </c>
      <c r="BL87" s="13">
        <v>0</v>
      </c>
      <c r="BM87" s="13">
        <f>FAR[[#This Row],[Accumulated depreciation (Opening balance)]]+FAR[[#This Row],[Depreciation YTD]]+FAR[[#This Row],[Derecognitions (acc dep) '[+']]]</f>
        <v>-2052</v>
      </c>
      <c r="BN87" s="13"/>
      <c r="BO87" s="13"/>
      <c r="BP87" s="13"/>
      <c r="BQ87" s="13"/>
      <c r="BR8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87" s="13">
        <f>FAR[[#This Row],[Cost Price (closing balance)]]+FAR[[#This Row],[Accumulated depreciation (Closing balance)]]+FAR[[#This Row],[Accumulated impairments (Closing balance)]]</f>
        <v>0</v>
      </c>
      <c r="BT87" s="13"/>
      <c r="BU87" s="13"/>
      <c r="BV87" s="13"/>
      <c r="BW87" s="10" t="s">
        <v>167</v>
      </c>
      <c r="BX87" s="9" t="s">
        <v>168</v>
      </c>
      <c r="BY87" s="10"/>
      <c r="BZ87" t="s">
        <v>979</v>
      </c>
      <c r="CA87"/>
      <c r="CB87" s="34"/>
      <c r="CC87" s="34"/>
      <c r="CD87" s="34"/>
      <c r="CE87" s="141"/>
    </row>
    <row r="88" spans="1:83">
      <c r="A88" s="35" t="s">
        <v>259</v>
      </c>
      <c r="B88" s="9" t="s">
        <v>892</v>
      </c>
      <c r="C88" s="9" t="s">
        <v>54</v>
      </c>
      <c r="D88" s="10" t="s">
        <v>1</v>
      </c>
      <c r="E88" s="9" t="s">
        <v>115</v>
      </c>
      <c r="F88" s="36" t="s">
        <v>99</v>
      </c>
      <c r="G88" s="9" t="s">
        <v>100</v>
      </c>
      <c r="H88" s="3" t="s">
        <v>128</v>
      </c>
      <c r="I88" s="9" t="s">
        <v>100</v>
      </c>
      <c r="J88" s="36" t="s">
        <v>101</v>
      </c>
      <c r="K88" s="10" t="s">
        <v>559</v>
      </c>
      <c r="L88" s="10" t="s">
        <v>559</v>
      </c>
      <c r="M88" s="9" t="s">
        <v>100</v>
      </c>
      <c r="N88" s="10" t="s">
        <v>465</v>
      </c>
      <c r="O88" s="9" t="s">
        <v>100</v>
      </c>
      <c r="P88" s="10"/>
      <c r="Q88" s="10" t="s">
        <v>465</v>
      </c>
      <c r="R88" s="10" t="s">
        <v>119</v>
      </c>
      <c r="S88" s="10" t="s">
        <v>130</v>
      </c>
      <c r="T88" s="10" t="s">
        <v>120</v>
      </c>
      <c r="U88" s="10" t="s">
        <v>101</v>
      </c>
      <c r="V88" s="10" t="s">
        <v>121</v>
      </c>
      <c r="W88" s="10" t="s">
        <v>122</v>
      </c>
      <c r="X88" s="10" t="s">
        <v>123</v>
      </c>
      <c r="Y88" s="29">
        <v>1</v>
      </c>
      <c r="Z88" s="138" t="s">
        <v>566</v>
      </c>
      <c r="AA88" s="138">
        <v>38611</v>
      </c>
      <c r="AB88" s="9" t="s">
        <v>114</v>
      </c>
      <c r="AC88" s="9" t="s">
        <v>124</v>
      </c>
      <c r="AD88" s="15">
        <v>44651</v>
      </c>
      <c r="AE88" s="39" t="s">
        <v>125</v>
      </c>
      <c r="AF88" s="177">
        <v>6</v>
      </c>
      <c r="AG88" s="140">
        <v>0</v>
      </c>
      <c r="AH88" s="9">
        <v>0</v>
      </c>
      <c r="AI88" s="10" t="s">
        <v>126</v>
      </c>
      <c r="AJ88" s="10"/>
      <c r="AK88" s="29"/>
      <c r="AL88" s="12">
        <v>1</v>
      </c>
      <c r="AM88" s="10"/>
      <c r="AN88" s="12">
        <f>FAR[[#This Row],[Opening RUL]]+FAR[[#This Row],[RUL Adjustment]]</f>
        <v>1</v>
      </c>
      <c r="AO88" s="12">
        <f>FAR[[#This Row],[Opening RUL 30 June 2026]]-1</f>
        <v>0</v>
      </c>
      <c r="AP88" s="12" t="s">
        <v>1050</v>
      </c>
      <c r="AQ88" s="139"/>
      <c r="AR88" s="10" t="s">
        <v>127</v>
      </c>
      <c r="AS88" s="13">
        <v>2052</v>
      </c>
      <c r="AT88" s="13"/>
      <c r="AU88" s="13">
        <v>0</v>
      </c>
      <c r="AV88" s="13">
        <v>0</v>
      </c>
      <c r="AW88" s="13">
        <v>0</v>
      </c>
      <c r="AX88" s="13">
        <v>2052</v>
      </c>
      <c r="AY88" s="13">
        <v>114</v>
      </c>
      <c r="AZ88" s="13">
        <v>0</v>
      </c>
      <c r="BA88" s="13"/>
      <c r="BB88" s="13"/>
      <c r="BC88" s="13">
        <v>-1938</v>
      </c>
      <c r="BD88" s="13"/>
      <c r="BE88" s="13" t="s">
        <v>114</v>
      </c>
      <c r="BF88" s="29"/>
      <c r="BG88" s="13"/>
      <c r="BH88" s="13">
        <f>-FAR[[#This Row],[Carrying value (opening balance)]]/FAR[[#This Row],[Opening RUL 30 June 2026]]</f>
        <v>-114</v>
      </c>
      <c r="BI88" s="13">
        <f>FAR[[#This Row],[Depreciation YTD]]/12</f>
        <v>-9.5</v>
      </c>
      <c r="BJ88" s="13"/>
      <c r="BK88" s="13" t="s">
        <v>116</v>
      </c>
      <c r="BL88" s="13">
        <v>0</v>
      </c>
      <c r="BM88" s="13">
        <f>FAR[[#This Row],[Accumulated depreciation (Opening balance)]]+FAR[[#This Row],[Depreciation YTD]]+FAR[[#This Row],[Derecognitions (acc dep) '[+']]]</f>
        <v>-2052</v>
      </c>
      <c r="BN88" s="13"/>
      <c r="BO88" s="13"/>
      <c r="BP88" s="13"/>
      <c r="BQ88" s="13"/>
      <c r="BR8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88" s="13">
        <f>FAR[[#This Row],[Cost Price (closing balance)]]+FAR[[#This Row],[Accumulated depreciation (Closing balance)]]+FAR[[#This Row],[Accumulated impairments (Closing balance)]]</f>
        <v>0</v>
      </c>
      <c r="BT88" s="13"/>
      <c r="BU88" s="13"/>
      <c r="BV88" s="13"/>
      <c r="BW88" s="10" t="s">
        <v>167</v>
      </c>
      <c r="BX88" s="9" t="s">
        <v>168</v>
      </c>
      <c r="BY88" s="10"/>
      <c r="BZ88" t="s">
        <v>980</v>
      </c>
      <c r="CA88"/>
      <c r="CB88" s="34"/>
      <c r="CC88" s="34"/>
      <c r="CD88" s="34"/>
      <c r="CE88" s="141"/>
    </row>
    <row r="89" spans="1:83">
      <c r="A89" s="35" t="s">
        <v>260</v>
      </c>
      <c r="B89" s="9" t="s">
        <v>888</v>
      </c>
      <c r="C89" s="9" t="s">
        <v>54</v>
      </c>
      <c r="D89" s="10" t="s">
        <v>1</v>
      </c>
      <c r="E89" s="9" t="s">
        <v>115</v>
      </c>
      <c r="F89" s="36" t="s">
        <v>99</v>
      </c>
      <c r="G89" s="9" t="s">
        <v>100</v>
      </c>
      <c r="H89" s="3" t="s">
        <v>128</v>
      </c>
      <c r="I89" s="9" t="s">
        <v>100</v>
      </c>
      <c r="J89" s="36" t="s">
        <v>101</v>
      </c>
      <c r="K89" s="10" t="s">
        <v>559</v>
      </c>
      <c r="L89" s="10" t="s">
        <v>559</v>
      </c>
      <c r="M89" s="9" t="s">
        <v>100</v>
      </c>
      <c r="N89" s="10" t="s">
        <v>465</v>
      </c>
      <c r="O89" s="9" t="s">
        <v>100</v>
      </c>
      <c r="P89" s="10"/>
      <c r="Q89" s="10" t="s">
        <v>465</v>
      </c>
      <c r="R89" s="10" t="s">
        <v>119</v>
      </c>
      <c r="S89" s="10" t="s">
        <v>130</v>
      </c>
      <c r="T89" s="10" t="s">
        <v>120</v>
      </c>
      <c r="U89" s="10" t="s">
        <v>101</v>
      </c>
      <c r="V89" s="10" t="s">
        <v>121</v>
      </c>
      <c r="W89" s="10" t="s">
        <v>122</v>
      </c>
      <c r="X89" s="10" t="s">
        <v>123</v>
      </c>
      <c r="Y89" s="29">
        <v>1</v>
      </c>
      <c r="Z89" s="138" t="s">
        <v>566</v>
      </c>
      <c r="AA89" s="138">
        <v>38611</v>
      </c>
      <c r="AB89" s="9" t="s">
        <v>114</v>
      </c>
      <c r="AC89" s="9" t="s">
        <v>124</v>
      </c>
      <c r="AD89" s="15">
        <v>44651</v>
      </c>
      <c r="AE89" s="39" t="s">
        <v>125</v>
      </c>
      <c r="AF89" s="177">
        <v>6</v>
      </c>
      <c r="AG89" s="140">
        <v>0</v>
      </c>
      <c r="AH89" s="9">
        <v>0</v>
      </c>
      <c r="AI89" s="10" t="s">
        <v>126</v>
      </c>
      <c r="AJ89" s="10"/>
      <c r="AK89" s="29"/>
      <c r="AL89" s="12">
        <v>1</v>
      </c>
      <c r="AM89" s="10"/>
      <c r="AN89" s="12">
        <f>FAR[[#This Row],[Opening RUL]]+FAR[[#This Row],[RUL Adjustment]]</f>
        <v>1</v>
      </c>
      <c r="AO89" s="12">
        <f>FAR[[#This Row],[Opening RUL 30 June 2026]]-1</f>
        <v>0</v>
      </c>
      <c r="AP89" s="12" t="s">
        <v>1050</v>
      </c>
      <c r="AQ89" s="139"/>
      <c r="AR89" s="10" t="s">
        <v>127</v>
      </c>
      <c r="AS89" s="13">
        <v>2052</v>
      </c>
      <c r="AT89" s="13"/>
      <c r="AU89" s="13">
        <v>0</v>
      </c>
      <c r="AV89" s="13">
        <v>0</v>
      </c>
      <c r="AW89" s="13">
        <v>0</v>
      </c>
      <c r="AX89" s="13">
        <v>2052</v>
      </c>
      <c r="AY89" s="13">
        <v>114</v>
      </c>
      <c r="AZ89" s="13">
        <v>0</v>
      </c>
      <c r="BA89" s="13"/>
      <c r="BB89" s="13"/>
      <c r="BC89" s="13">
        <v>-1938</v>
      </c>
      <c r="BD89" s="13"/>
      <c r="BE89" s="13" t="s">
        <v>114</v>
      </c>
      <c r="BF89" s="29"/>
      <c r="BG89" s="13"/>
      <c r="BH89" s="13">
        <f>-FAR[[#This Row],[Carrying value (opening balance)]]/FAR[[#This Row],[Opening RUL 30 June 2026]]</f>
        <v>-114</v>
      </c>
      <c r="BI89" s="13">
        <f>FAR[[#This Row],[Depreciation YTD]]/12</f>
        <v>-9.5</v>
      </c>
      <c r="BJ89" s="13"/>
      <c r="BK89" s="13" t="s">
        <v>116</v>
      </c>
      <c r="BL89" s="13">
        <v>0</v>
      </c>
      <c r="BM89" s="13">
        <f>FAR[[#This Row],[Accumulated depreciation (Opening balance)]]+FAR[[#This Row],[Depreciation YTD]]+FAR[[#This Row],[Derecognitions (acc dep) '[+']]]</f>
        <v>-2052</v>
      </c>
      <c r="BN89" s="13"/>
      <c r="BO89" s="13"/>
      <c r="BP89" s="13"/>
      <c r="BQ89" s="13"/>
      <c r="BR8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89" s="13">
        <f>FAR[[#This Row],[Cost Price (closing balance)]]+FAR[[#This Row],[Accumulated depreciation (Closing balance)]]+FAR[[#This Row],[Accumulated impairments (Closing balance)]]</f>
        <v>0</v>
      </c>
      <c r="BT89" s="13"/>
      <c r="BU89" s="13"/>
      <c r="BV89" s="13"/>
      <c r="BW89" s="10" t="s">
        <v>167</v>
      </c>
      <c r="BX89" s="9" t="s">
        <v>168</v>
      </c>
      <c r="BY89" s="10"/>
      <c r="BZ89" t="s">
        <v>977</v>
      </c>
      <c r="CA89"/>
      <c r="CB89" s="34"/>
      <c r="CC89" s="34"/>
      <c r="CD89" s="34"/>
      <c r="CE89" s="141"/>
    </row>
    <row r="90" spans="1:83">
      <c r="A90" s="35" t="s">
        <v>261</v>
      </c>
      <c r="B90" s="9" t="s">
        <v>893</v>
      </c>
      <c r="C90" s="9" t="s">
        <v>54</v>
      </c>
      <c r="D90" s="10" t="s">
        <v>1</v>
      </c>
      <c r="E90" s="9" t="s">
        <v>115</v>
      </c>
      <c r="F90" s="36" t="s">
        <v>99</v>
      </c>
      <c r="G90" s="9" t="s">
        <v>100</v>
      </c>
      <c r="H90" s="3" t="s">
        <v>128</v>
      </c>
      <c r="I90" s="9" t="s">
        <v>100</v>
      </c>
      <c r="J90" s="36" t="s">
        <v>101</v>
      </c>
      <c r="K90" s="10" t="s">
        <v>559</v>
      </c>
      <c r="L90" s="10" t="s">
        <v>559</v>
      </c>
      <c r="M90" s="9" t="s">
        <v>100</v>
      </c>
      <c r="N90" s="10" t="s">
        <v>465</v>
      </c>
      <c r="O90" s="9" t="s">
        <v>100</v>
      </c>
      <c r="P90" s="10"/>
      <c r="Q90" s="10" t="s">
        <v>465</v>
      </c>
      <c r="R90" s="10" t="s">
        <v>119</v>
      </c>
      <c r="S90" s="10" t="s">
        <v>130</v>
      </c>
      <c r="T90" s="10" t="s">
        <v>120</v>
      </c>
      <c r="U90" s="10" t="s">
        <v>101</v>
      </c>
      <c r="V90" s="10" t="s">
        <v>121</v>
      </c>
      <c r="W90" s="10" t="s">
        <v>122</v>
      </c>
      <c r="X90" s="10" t="s">
        <v>123</v>
      </c>
      <c r="Y90" s="29">
        <v>1</v>
      </c>
      <c r="Z90" s="138" t="s">
        <v>566</v>
      </c>
      <c r="AA90" s="138">
        <v>38611</v>
      </c>
      <c r="AB90" s="9" t="s">
        <v>114</v>
      </c>
      <c r="AC90" s="9" t="s">
        <v>124</v>
      </c>
      <c r="AD90" s="15">
        <v>44651</v>
      </c>
      <c r="AE90" s="39" t="s">
        <v>125</v>
      </c>
      <c r="AF90" s="177">
        <v>6</v>
      </c>
      <c r="AG90" s="140">
        <v>0</v>
      </c>
      <c r="AH90" s="9">
        <v>0</v>
      </c>
      <c r="AI90" s="10" t="s">
        <v>126</v>
      </c>
      <c r="AJ90" s="10"/>
      <c r="AK90" s="29"/>
      <c r="AL90" s="12">
        <v>1</v>
      </c>
      <c r="AM90" s="10"/>
      <c r="AN90" s="12">
        <f>FAR[[#This Row],[Opening RUL]]+FAR[[#This Row],[RUL Adjustment]]</f>
        <v>1</v>
      </c>
      <c r="AO90" s="12">
        <f>FAR[[#This Row],[Opening RUL 30 June 2026]]-1</f>
        <v>0</v>
      </c>
      <c r="AP90" s="12" t="s">
        <v>1050</v>
      </c>
      <c r="AQ90" s="139"/>
      <c r="AR90" s="10" t="s">
        <v>127</v>
      </c>
      <c r="AS90" s="13">
        <v>2052</v>
      </c>
      <c r="AT90" s="13"/>
      <c r="AU90" s="13">
        <v>0</v>
      </c>
      <c r="AV90" s="13">
        <v>0</v>
      </c>
      <c r="AW90" s="13">
        <v>0</v>
      </c>
      <c r="AX90" s="13">
        <v>2052</v>
      </c>
      <c r="AY90" s="13">
        <v>114</v>
      </c>
      <c r="AZ90" s="13">
        <v>0</v>
      </c>
      <c r="BA90" s="13"/>
      <c r="BB90" s="13"/>
      <c r="BC90" s="13">
        <v>-1938</v>
      </c>
      <c r="BD90" s="13"/>
      <c r="BE90" s="13" t="s">
        <v>114</v>
      </c>
      <c r="BF90" s="29"/>
      <c r="BG90" s="13"/>
      <c r="BH90" s="13">
        <f>-FAR[[#This Row],[Carrying value (opening balance)]]/FAR[[#This Row],[Opening RUL 30 June 2026]]</f>
        <v>-114</v>
      </c>
      <c r="BI90" s="13">
        <f>FAR[[#This Row],[Depreciation YTD]]/12</f>
        <v>-9.5</v>
      </c>
      <c r="BJ90" s="13"/>
      <c r="BK90" s="13" t="s">
        <v>116</v>
      </c>
      <c r="BL90" s="13">
        <v>0</v>
      </c>
      <c r="BM90" s="13">
        <f>FAR[[#This Row],[Accumulated depreciation (Opening balance)]]+FAR[[#This Row],[Depreciation YTD]]+FAR[[#This Row],[Derecognitions (acc dep) '[+']]]</f>
        <v>-2052</v>
      </c>
      <c r="BN90" s="13"/>
      <c r="BO90" s="13"/>
      <c r="BP90" s="13"/>
      <c r="BQ90" s="13"/>
      <c r="BR9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90" s="13">
        <f>FAR[[#This Row],[Cost Price (closing balance)]]+FAR[[#This Row],[Accumulated depreciation (Closing balance)]]+FAR[[#This Row],[Accumulated impairments (Closing balance)]]</f>
        <v>0</v>
      </c>
      <c r="BT90" s="13"/>
      <c r="BU90" s="13"/>
      <c r="BV90" s="13"/>
      <c r="BW90" s="10" t="s">
        <v>167</v>
      </c>
      <c r="BX90" s="9" t="s">
        <v>168</v>
      </c>
      <c r="BY90" s="10"/>
      <c r="BZ90" t="s">
        <v>979</v>
      </c>
      <c r="CA90"/>
      <c r="CB90" s="34"/>
      <c r="CC90" s="34"/>
      <c r="CD90" s="34"/>
      <c r="CE90" s="141"/>
    </row>
    <row r="91" spans="1:83">
      <c r="A91" s="35" t="s">
        <v>262</v>
      </c>
      <c r="B91" s="9" t="s">
        <v>863</v>
      </c>
      <c r="C91" s="9" t="s">
        <v>54</v>
      </c>
      <c r="D91" s="10" t="s">
        <v>1</v>
      </c>
      <c r="E91" s="9" t="s">
        <v>115</v>
      </c>
      <c r="F91" s="36" t="s">
        <v>99</v>
      </c>
      <c r="G91" s="9" t="s">
        <v>100</v>
      </c>
      <c r="H91" s="3" t="s">
        <v>128</v>
      </c>
      <c r="I91" s="9" t="s">
        <v>100</v>
      </c>
      <c r="J91" s="36" t="s">
        <v>101</v>
      </c>
      <c r="K91" s="10" t="s">
        <v>559</v>
      </c>
      <c r="L91" s="10" t="s">
        <v>559</v>
      </c>
      <c r="M91" s="9" t="s">
        <v>100</v>
      </c>
      <c r="N91" s="10" t="s">
        <v>466</v>
      </c>
      <c r="O91" s="9" t="s">
        <v>100</v>
      </c>
      <c r="P91" s="10"/>
      <c r="Q91" s="10" t="s">
        <v>466</v>
      </c>
      <c r="R91" s="10" t="s">
        <v>119</v>
      </c>
      <c r="S91" s="10" t="s">
        <v>130</v>
      </c>
      <c r="T91" s="10" t="s">
        <v>120</v>
      </c>
      <c r="U91" s="10" t="s">
        <v>101</v>
      </c>
      <c r="V91" s="10" t="s">
        <v>121</v>
      </c>
      <c r="W91" s="10" t="s">
        <v>122</v>
      </c>
      <c r="X91" s="10" t="s">
        <v>123</v>
      </c>
      <c r="Y91" s="29">
        <v>1</v>
      </c>
      <c r="Z91" s="138" t="s">
        <v>568</v>
      </c>
      <c r="AA91" s="138">
        <v>38623</v>
      </c>
      <c r="AB91" s="9" t="s">
        <v>114</v>
      </c>
      <c r="AC91" s="9" t="s">
        <v>124</v>
      </c>
      <c r="AD91" s="15">
        <v>44651</v>
      </c>
      <c r="AE91" s="39" t="s">
        <v>125</v>
      </c>
      <c r="AF91" s="177">
        <v>6</v>
      </c>
      <c r="AG91" s="140">
        <v>0</v>
      </c>
      <c r="AH91" s="9">
        <v>0</v>
      </c>
      <c r="AI91" s="10" t="s">
        <v>126</v>
      </c>
      <c r="AJ91" s="10"/>
      <c r="AK91" s="29"/>
      <c r="AL91" s="12">
        <v>1</v>
      </c>
      <c r="AM91" s="10"/>
      <c r="AN91" s="12">
        <f>FAR[[#This Row],[Opening RUL]]+FAR[[#This Row],[RUL Adjustment]]</f>
        <v>1</v>
      </c>
      <c r="AO91" s="12">
        <f>FAR[[#This Row],[Opening RUL 30 June 2026]]-1</f>
        <v>0</v>
      </c>
      <c r="AP91" s="12" t="s">
        <v>1051</v>
      </c>
      <c r="AQ91" s="139"/>
      <c r="AR91" s="10" t="s">
        <v>127</v>
      </c>
      <c r="AS91" s="13">
        <v>7410</v>
      </c>
      <c r="AT91" s="13"/>
      <c r="AU91" s="13">
        <v>0</v>
      </c>
      <c r="AV91" s="13">
        <v>0</v>
      </c>
      <c r="AW91" s="13">
        <v>0</v>
      </c>
      <c r="AX91" s="13">
        <v>7410</v>
      </c>
      <c r="AY91" s="13">
        <v>411.66666666666606</v>
      </c>
      <c r="AZ91" s="13">
        <v>0</v>
      </c>
      <c r="BA91" s="13"/>
      <c r="BB91" s="13"/>
      <c r="BC91" s="13">
        <v>-6998.3333333333339</v>
      </c>
      <c r="BD91" s="13"/>
      <c r="BE91" s="13" t="s">
        <v>114</v>
      </c>
      <c r="BF91" s="29"/>
      <c r="BG91" s="13"/>
      <c r="BH91" s="13">
        <f>-FAR[[#This Row],[Carrying value (opening balance)]]/FAR[[#This Row],[Opening RUL 30 June 2026]]</f>
        <v>-411.66666666666606</v>
      </c>
      <c r="BI91" s="13">
        <f>FAR[[#This Row],[Depreciation YTD]]/12</f>
        <v>-34.305555555555507</v>
      </c>
      <c r="BJ91" s="13"/>
      <c r="BK91" s="13" t="s">
        <v>116</v>
      </c>
      <c r="BL91" s="13">
        <v>0</v>
      </c>
      <c r="BM91" s="13">
        <f>FAR[[#This Row],[Accumulated depreciation (Opening balance)]]+FAR[[#This Row],[Depreciation YTD]]+FAR[[#This Row],[Derecognitions (acc dep) '[+']]]</f>
        <v>-7410</v>
      </c>
      <c r="BN91" s="13"/>
      <c r="BO91" s="13"/>
      <c r="BP91" s="13"/>
      <c r="BQ91" s="13"/>
      <c r="BR9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91" s="13">
        <f>FAR[[#This Row],[Cost Price (closing balance)]]+FAR[[#This Row],[Accumulated depreciation (Closing balance)]]+FAR[[#This Row],[Accumulated impairments (Closing balance)]]</f>
        <v>0</v>
      </c>
      <c r="BT91" s="13"/>
      <c r="BU91" s="13"/>
      <c r="BV91" s="13"/>
      <c r="BW91" s="10" t="s">
        <v>167</v>
      </c>
      <c r="BX91" s="9" t="s">
        <v>168</v>
      </c>
      <c r="BY91" s="10"/>
      <c r="BZ91" t="s">
        <v>947</v>
      </c>
      <c r="CA91"/>
      <c r="CB91" s="34"/>
      <c r="CC91" s="34"/>
      <c r="CD91" s="34"/>
      <c r="CE91" s="141"/>
    </row>
    <row r="92" spans="1:83">
      <c r="A92" s="35" t="s">
        <v>263</v>
      </c>
      <c r="B92" s="9" t="s">
        <v>853</v>
      </c>
      <c r="C92" s="9" t="s">
        <v>54</v>
      </c>
      <c r="D92" s="10" t="s">
        <v>1</v>
      </c>
      <c r="E92" s="9" t="s">
        <v>115</v>
      </c>
      <c r="F92" s="36" t="s">
        <v>99</v>
      </c>
      <c r="G92" s="9" t="s">
        <v>100</v>
      </c>
      <c r="H92" s="3" t="s">
        <v>128</v>
      </c>
      <c r="I92" s="9" t="s">
        <v>100</v>
      </c>
      <c r="J92" s="36" t="s">
        <v>101</v>
      </c>
      <c r="K92" s="10" t="s">
        <v>559</v>
      </c>
      <c r="L92" s="10" t="s">
        <v>559</v>
      </c>
      <c r="M92" s="9" t="s">
        <v>100</v>
      </c>
      <c r="N92" s="10" t="s">
        <v>467</v>
      </c>
      <c r="O92" s="9" t="s">
        <v>100</v>
      </c>
      <c r="P92" s="10"/>
      <c r="Q92" s="10" t="s">
        <v>467</v>
      </c>
      <c r="R92" s="10" t="s">
        <v>119</v>
      </c>
      <c r="S92" s="10" t="s">
        <v>130</v>
      </c>
      <c r="T92" s="10" t="s">
        <v>120</v>
      </c>
      <c r="U92" s="10" t="s">
        <v>101</v>
      </c>
      <c r="V92" s="10" t="s">
        <v>121</v>
      </c>
      <c r="W92" s="10" t="s">
        <v>122</v>
      </c>
      <c r="X92" s="10" t="s">
        <v>123</v>
      </c>
      <c r="Y92" s="29">
        <v>1</v>
      </c>
      <c r="Z92" s="138" t="s">
        <v>569</v>
      </c>
      <c r="AA92" s="138">
        <v>38077</v>
      </c>
      <c r="AB92" s="9" t="s">
        <v>114</v>
      </c>
      <c r="AC92" s="9" t="s">
        <v>124</v>
      </c>
      <c r="AD92" s="15">
        <v>44651</v>
      </c>
      <c r="AE92" s="39" t="s">
        <v>125</v>
      </c>
      <c r="AF92" s="177">
        <v>6</v>
      </c>
      <c r="AG92" s="140">
        <v>0</v>
      </c>
      <c r="AH92" s="9">
        <v>0</v>
      </c>
      <c r="AI92" s="10" t="s">
        <v>126</v>
      </c>
      <c r="AJ92" s="10"/>
      <c r="AK92" s="29"/>
      <c r="AL92" s="12">
        <v>1</v>
      </c>
      <c r="AM92" s="10"/>
      <c r="AN92" s="12">
        <f>FAR[[#This Row],[Opening RUL]]+FAR[[#This Row],[RUL Adjustment]]</f>
        <v>1</v>
      </c>
      <c r="AO92" s="12">
        <f>FAR[[#This Row],[Opening RUL 30 June 2026]]-1</f>
        <v>0</v>
      </c>
      <c r="AP92" s="12" t="s">
        <v>1050</v>
      </c>
      <c r="AQ92" s="139"/>
      <c r="AR92" s="10" t="s">
        <v>127</v>
      </c>
      <c r="AS92" s="13">
        <v>2100</v>
      </c>
      <c r="AT92" s="13"/>
      <c r="AU92" s="13">
        <v>0</v>
      </c>
      <c r="AV92" s="13">
        <v>0</v>
      </c>
      <c r="AW92" s="13">
        <v>0</v>
      </c>
      <c r="AX92" s="13">
        <v>2100</v>
      </c>
      <c r="AY92" s="13">
        <v>116.66666666666652</v>
      </c>
      <c r="AZ92" s="13">
        <v>0</v>
      </c>
      <c r="BA92" s="13"/>
      <c r="BB92" s="13"/>
      <c r="BC92" s="13">
        <v>-1983.3333333333335</v>
      </c>
      <c r="BD92" s="13"/>
      <c r="BE92" s="13" t="s">
        <v>114</v>
      </c>
      <c r="BF92" s="29"/>
      <c r="BG92" s="13"/>
      <c r="BH92" s="13">
        <f>-FAR[[#This Row],[Carrying value (opening balance)]]/FAR[[#This Row],[Opening RUL 30 June 2026]]</f>
        <v>-116.66666666666652</v>
      </c>
      <c r="BI92" s="13">
        <f>FAR[[#This Row],[Depreciation YTD]]/12</f>
        <v>-9.722222222222209</v>
      </c>
      <c r="BJ92" s="13"/>
      <c r="BK92" s="13" t="s">
        <v>116</v>
      </c>
      <c r="BL92" s="13">
        <v>0</v>
      </c>
      <c r="BM92" s="13">
        <f>FAR[[#This Row],[Accumulated depreciation (Opening balance)]]+FAR[[#This Row],[Depreciation YTD]]+FAR[[#This Row],[Derecognitions (acc dep) '[+']]]</f>
        <v>-2100</v>
      </c>
      <c r="BN92" s="13"/>
      <c r="BO92" s="13"/>
      <c r="BP92" s="13"/>
      <c r="BQ92" s="13"/>
      <c r="BR9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92" s="13">
        <f>FAR[[#This Row],[Cost Price (closing balance)]]+FAR[[#This Row],[Accumulated depreciation (Closing balance)]]+FAR[[#This Row],[Accumulated impairments (Closing balance)]]</f>
        <v>0</v>
      </c>
      <c r="BT92" s="13"/>
      <c r="BU92" s="13"/>
      <c r="BV92" s="13"/>
      <c r="BW92" s="10" t="s">
        <v>167</v>
      </c>
      <c r="BX92" s="9" t="s">
        <v>168</v>
      </c>
      <c r="BY92" s="10"/>
      <c r="BZ92" t="s">
        <v>939</v>
      </c>
      <c r="CA92"/>
      <c r="CB92" s="34"/>
      <c r="CC92" s="34"/>
      <c r="CD92" s="34"/>
      <c r="CE92" s="141"/>
    </row>
    <row r="93" spans="1:83">
      <c r="A93" s="35" t="s">
        <v>264</v>
      </c>
      <c r="B93" s="9" t="s">
        <v>894</v>
      </c>
      <c r="C93" s="9" t="s">
        <v>54</v>
      </c>
      <c r="D93" s="10" t="s">
        <v>1</v>
      </c>
      <c r="E93" s="9" t="s">
        <v>115</v>
      </c>
      <c r="F93" s="36" t="s">
        <v>99</v>
      </c>
      <c r="G93" s="9" t="s">
        <v>100</v>
      </c>
      <c r="H93" s="3" t="s">
        <v>128</v>
      </c>
      <c r="I93" s="9" t="s">
        <v>100</v>
      </c>
      <c r="J93" s="36" t="s">
        <v>101</v>
      </c>
      <c r="K93" s="10" t="s">
        <v>559</v>
      </c>
      <c r="L93" s="10" t="s">
        <v>559</v>
      </c>
      <c r="M93" s="9" t="s">
        <v>100</v>
      </c>
      <c r="N93" s="10" t="s">
        <v>468</v>
      </c>
      <c r="O93" s="9" t="s">
        <v>100</v>
      </c>
      <c r="P93" s="10"/>
      <c r="Q93" s="10" t="s">
        <v>468</v>
      </c>
      <c r="R93" s="10" t="s">
        <v>119</v>
      </c>
      <c r="S93" s="10" t="s">
        <v>130</v>
      </c>
      <c r="T93" s="10" t="s">
        <v>120</v>
      </c>
      <c r="U93" s="10" t="s">
        <v>101</v>
      </c>
      <c r="V93" s="10" t="s">
        <v>121</v>
      </c>
      <c r="W93" s="10" t="s">
        <v>122</v>
      </c>
      <c r="X93" s="10" t="s">
        <v>123</v>
      </c>
      <c r="Y93" s="29">
        <v>1</v>
      </c>
      <c r="Z93" s="138" t="s">
        <v>570</v>
      </c>
      <c r="AA93" s="138">
        <v>39171</v>
      </c>
      <c r="AB93" s="9" t="s">
        <v>114</v>
      </c>
      <c r="AC93" s="9" t="s">
        <v>124</v>
      </c>
      <c r="AD93" s="15">
        <v>44651</v>
      </c>
      <c r="AE93" s="39" t="s">
        <v>125</v>
      </c>
      <c r="AF93" s="177">
        <v>6</v>
      </c>
      <c r="AG93" s="140">
        <v>0</v>
      </c>
      <c r="AH93" s="9">
        <v>0</v>
      </c>
      <c r="AI93" s="10" t="s">
        <v>126</v>
      </c>
      <c r="AJ93" s="10"/>
      <c r="AK93" s="29"/>
      <c r="AL93" s="12">
        <v>1</v>
      </c>
      <c r="AM93" s="10"/>
      <c r="AN93" s="12">
        <f>FAR[[#This Row],[Opening RUL]]+FAR[[#This Row],[RUL Adjustment]]</f>
        <v>1</v>
      </c>
      <c r="AO93" s="12">
        <f>FAR[[#This Row],[Opening RUL 30 June 2026]]-1</f>
        <v>0</v>
      </c>
      <c r="AP93" s="12" t="s">
        <v>1050</v>
      </c>
      <c r="AQ93" s="139"/>
      <c r="AR93" s="10" t="s">
        <v>127</v>
      </c>
      <c r="AS93" s="13">
        <v>3534</v>
      </c>
      <c r="AT93" s="13"/>
      <c r="AU93" s="13">
        <v>0</v>
      </c>
      <c r="AV93" s="13">
        <v>0</v>
      </c>
      <c r="AW93" s="13">
        <v>0</v>
      </c>
      <c r="AX93" s="13">
        <v>3534</v>
      </c>
      <c r="AY93" s="13">
        <v>196.33333333333303</v>
      </c>
      <c r="AZ93" s="13">
        <v>0</v>
      </c>
      <c r="BA93" s="13"/>
      <c r="BB93" s="13"/>
      <c r="BC93" s="13">
        <v>-3337.666666666667</v>
      </c>
      <c r="BD93" s="13"/>
      <c r="BE93" s="13" t="s">
        <v>114</v>
      </c>
      <c r="BF93" s="29"/>
      <c r="BG93" s="13"/>
      <c r="BH93" s="13">
        <f>-FAR[[#This Row],[Carrying value (opening balance)]]/FAR[[#This Row],[Opening RUL 30 June 2026]]</f>
        <v>-196.33333333333303</v>
      </c>
      <c r="BI93" s="13">
        <f>FAR[[#This Row],[Depreciation YTD]]/12</f>
        <v>-16.361111111111086</v>
      </c>
      <c r="BJ93" s="13"/>
      <c r="BK93" s="13" t="s">
        <v>116</v>
      </c>
      <c r="BL93" s="13">
        <v>0</v>
      </c>
      <c r="BM93" s="13">
        <f>FAR[[#This Row],[Accumulated depreciation (Opening balance)]]+FAR[[#This Row],[Depreciation YTD]]+FAR[[#This Row],[Derecognitions (acc dep) '[+']]]</f>
        <v>-3534</v>
      </c>
      <c r="BN93" s="13"/>
      <c r="BO93" s="13"/>
      <c r="BP93" s="13"/>
      <c r="BQ93" s="13"/>
      <c r="BR9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93" s="13">
        <f>FAR[[#This Row],[Cost Price (closing balance)]]+FAR[[#This Row],[Accumulated depreciation (Closing balance)]]+FAR[[#This Row],[Accumulated impairments (Closing balance)]]</f>
        <v>0</v>
      </c>
      <c r="BT93" s="13"/>
      <c r="BU93" s="13"/>
      <c r="BV93" s="13"/>
      <c r="BW93" s="10" t="s">
        <v>167</v>
      </c>
      <c r="BX93" s="9" t="s">
        <v>168</v>
      </c>
      <c r="BY93" s="10"/>
      <c r="BZ93" t="s">
        <v>981</v>
      </c>
      <c r="CA93"/>
      <c r="CB93" s="34"/>
      <c r="CC93" s="34"/>
      <c r="CD93" s="34"/>
      <c r="CE93" s="141"/>
    </row>
    <row r="94" spans="1:83">
      <c r="A94" s="35" t="s">
        <v>265</v>
      </c>
      <c r="B94" s="9" t="s">
        <v>895</v>
      </c>
      <c r="C94" s="9" t="s">
        <v>54</v>
      </c>
      <c r="D94" s="10" t="s">
        <v>1</v>
      </c>
      <c r="E94" s="9" t="s">
        <v>115</v>
      </c>
      <c r="F94" s="36" t="s">
        <v>99</v>
      </c>
      <c r="G94" s="9" t="s">
        <v>100</v>
      </c>
      <c r="H94" s="3" t="s">
        <v>128</v>
      </c>
      <c r="I94" s="9" t="s">
        <v>100</v>
      </c>
      <c r="J94" s="36" t="s">
        <v>101</v>
      </c>
      <c r="K94" s="10" t="s">
        <v>559</v>
      </c>
      <c r="L94" s="10" t="s">
        <v>559</v>
      </c>
      <c r="M94" s="9" t="s">
        <v>100</v>
      </c>
      <c r="N94" s="10" t="s">
        <v>469</v>
      </c>
      <c r="O94" s="9" t="s">
        <v>100</v>
      </c>
      <c r="P94" s="10"/>
      <c r="Q94" s="10" t="s">
        <v>469</v>
      </c>
      <c r="R94" s="10" t="s">
        <v>119</v>
      </c>
      <c r="S94" s="10" t="s">
        <v>130</v>
      </c>
      <c r="T94" s="10" t="s">
        <v>120</v>
      </c>
      <c r="U94" s="10" t="s">
        <v>101</v>
      </c>
      <c r="V94" s="10" t="s">
        <v>121</v>
      </c>
      <c r="W94" s="10" t="s">
        <v>122</v>
      </c>
      <c r="X94" s="10" t="s">
        <v>123</v>
      </c>
      <c r="Y94" s="29">
        <v>1</v>
      </c>
      <c r="Z94" s="138" t="s">
        <v>570</v>
      </c>
      <c r="AA94" s="138">
        <v>39171</v>
      </c>
      <c r="AB94" s="9" t="s">
        <v>114</v>
      </c>
      <c r="AC94" s="9" t="s">
        <v>124</v>
      </c>
      <c r="AD94" s="15">
        <v>44651</v>
      </c>
      <c r="AE94" s="39" t="s">
        <v>125</v>
      </c>
      <c r="AF94" s="177">
        <v>6</v>
      </c>
      <c r="AG94" s="140">
        <v>0</v>
      </c>
      <c r="AH94" s="9">
        <v>0</v>
      </c>
      <c r="AI94" s="10" t="s">
        <v>126</v>
      </c>
      <c r="AJ94" s="10"/>
      <c r="AK94" s="29"/>
      <c r="AL94" s="12">
        <v>1</v>
      </c>
      <c r="AM94" s="10"/>
      <c r="AN94" s="12">
        <f>FAR[[#This Row],[Opening RUL]]+FAR[[#This Row],[RUL Adjustment]]</f>
        <v>1</v>
      </c>
      <c r="AO94" s="12">
        <f>FAR[[#This Row],[Opening RUL 30 June 2026]]-1</f>
        <v>0</v>
      </c>
      <c r="AP94" s="12" t="s">
        <v>1050</v>
      </c>
      <c r="AQ94" s="139"/>
      <c r="AR94" s="10" t="s">
        <v>127</v>
      </c>
      <c r="AS94" s="13">
        <v>9690</v>
      </c>
      <c r="AT94" s="13"/>
      <c r="AU94" s="13">
        <v>0</v>
      </c>
      <c r="AV94" s="13">
        <v>0</v>
      </c>
      <c r="AW94" s="13">
        <v>0</v>
      </c>
      <c r="AX94" s="13">
        <v>9690</v>
      </c>
      <c r="AY94" s="13">
        <v>538.33333333333212</v>
      </c>
      <c r="AZ94" s="13">
        <v>0</v>
      </c>
      <c r="BA94" s="13"/>
      <c r="BB94" s="13"/>
      <c r="BC94" s="13">
        <v>-9151.6666666666679</v>
      </c>
      <c r="BD94" s="13"/>
      <c r="BE94" s="13" t="s">
        <v>114</v>
      </c>
      <c r="BF94" s="29"/>
      <c r="BG94" s="13"/>
      <c r="BH94" s="13">
        <f>-FAR[[#This Row],[Carrying value (opening balance)]]/FAR[[#This Row],[Opening RUL 30 June 2026]]</f>
        <v>-538.33333333333212</v>
      </c>
      <c r="BI94" s="13">
        <f>FAR[[#This Row],[Depreciation YTD]]/12</f>
        <v>-44.861111111111008</v>
      </c>
      <c r="BJ94" s="13"/>
      <c r="BK94" s="13" t="s">
        <v>116</v>
      </c>
      <c r="BL94" s="13">
        <v>0</v>
      </c>
      <c r="BM94" s="13">
        <f>FAR[[#This Row],[Accumulated depreciation (Opening balance)]]+FAR[[#This Row],[Depreciation YTD]]+FAR[[#This Row],[Derecognitions (acc dep) '[+']]]</f>
        <v>-9690</v>
      </c>
      <c r="BN94" s="13"/>
      <c r="BO94" s="13"/>
      <c r="BP94" s="13"/>
      <c r="BQ94" s="13"/>
      <c r="BR9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94" s="13">
        <f>FAR[[#This Row],[Cost Price (closing balance)]]+FAR[[#This Row],[Accumulated depreciation (Closing balance)]]+FAR[[#This Row],[Accumulated impairments (Closing balance)]]</f>
        <v>0</v>
      </c>
      <c r="BT94" s="13"/>
      <c r="BU94" s="13"/>
      <c r="BV94" s="13"/>
      <c r="BW94" s="10" t="s">
        <v>167</v>
      </c>
      <c r="BX94" s="9" t="s">
        <v>168</v>
      </c>
      <c r="BY94" s="10"/>
      <c r="BZ94" t="s">
        <v>968</v>
      </c>
      <c r="CA94"/>
      <c r="CB94" s="34"/>
      <c r="CC94" s="34"/>
      <c r="CD94" s="34"/>
      <c r="CE94" s="141"/>
    </row>
    <row r="95" spans="1:83">
      <c r="A95" s="35" t="s">
        <v>266</v>
      </c>
      <c r="B95" s="9">
        <v>0</v>
      </c>
      <c r="C95" s="9" t="s">
        <v>54</v>
      </c>
      <c r="D95" s="10" t="s">
        <v>1</v>
      </c>
      <c r="E95" s="9" t="s">
        <v>115</v>
      </c>
      <c r="F95" s="36" t="s">
        <v>99</v>
      </c>
      <c r="G95" s="9" t="s">
        <v>100</v>
      </c>
      <c r="H95" s="3" t="s">
        <v>128</v>
      </c>
      <c r="I95" s="9" t="s">
        <v>100</v>
      </c>
      <c r="J95" s="36" t="s">
        <v>101</v>
      </c>
      <c r="K95" s="10" t="s">
        <v>559</v>
      </c>
      <c r="L95" s="10" t="s">
        <v>559</v>
      </c>
      <c r="M95" s="9" t="s">
        <v>100</v>
      </c>
      <c r="N95" s="10" t="s">
        <v>470</v>
      </c>
      <c r="O95" s="9" t="s">
        <v>100</v>
      </c>
      <c r="P95" s="10"/>
      <c r="Q95" s="10" t="s">
        <v>470</v>
      </c>
      <c r="R95" s="10" t="s">
        <v>119</v>
      </c>
      <c r="S95" s="10" t="s">
        <v>130</v>
      </c>
      <c r="T95" s="10" t="s">
        <v>120</v>
      </c>
      <c r="U95" s="10" t="s">
        <v>101</v>
      </c>
      <c r="V95" s="10" t="s">
        <v>121</v>
      </c>
      <c r="W95" s="10" t="s">
        <v>122</v>
      </c>
      <c r="X95" s="10" t="s">
        <v>123</v>
      </c>
      <c r="Y95" s="29">
        <v>1</v>
      </c>
      <c r="Z95" s="138" t="s">
        <v>570</v>
      </c>
      <c r="AA95" s="138">
        <v>39171</v>
      </c>
      <c r="AB95" s="9" t="s">
        <v>114</v>
      </c>
      <c r="AC95" s="9" t="s">
        <v>124</v>
      </c>
      <c r="AD95" s="15">
        <v>44651</v>
      </c>
      <c r="AE95" s="39" t="s">
        <v>125</v>
      </c>
      <c r="AF95" s="177">
        <v>6</v>
      </c>
      <c r="AG95" s="140">
        <v>0</v>
      </c>
      <c r="AH95" s="9">
        <v>0</v>
      </c>
      <c r="AI95" s="10" t="s">
        <v>126</v>
      </c>
      <c r="AJ95" s="10"/>
      <c r="AK95" s="29"/>
      <c r="AL95" s="12">
        <v>1</v>
      </c>
      <c r="AM95" s="10"/>
      <c r="AN95" s="12">
        <f>FAR[[#This Row],[Opening RUL]]+FAR[[#This Row],[RUL Adjustment]]</f>
        <v>1</v>
      </c>
      <c r="AO95" s="12">
        <f>FAR[[#This Row],[Opening RUL 30 June 2026]]-1</f>
        <v>0</v>
      </c>
      <c r="AP95" s="12">
        <v>0</v>
      </c>
      <c r="AQ95" s="139"/>
      <c r="AR95" s="10" t="s">
        <v>127</v>
      </c>
      <c r="AS95" s="13">
        <v>3306</v>
      </c>
      <c r="AT95" s="13"/>
      <c r="AU95" s="13">
        <v>0</v>
      </c>
      <c r="AV95" s="13">
        <v>0</v>
      </c>
      <c r="AW95" s="13">
        <v>0</v>
      </c>
      <c r="AX95" s="13">
        <v>3306</v>
      </c>
      <c r="AY95" s="13">
        <v>183.66666666666697</v>
      </c>
      <c r="AZ95" s="13">
        <v>0</v>
      </c>
      <c r="BA95" s="13"/>
      <c r="BB95" s="13"/>
      <c r="BC95" s="13">
        <v>-3122.333333333333</v>
      </c>
      <c r="BD95" s="13"/>
      <c r="BE95" s="13" t="s">
        <v>114</v>
      </c>
      <c r="BF95" s="29"/>
      <c r="BG95" s="13"/>
      <c r="BH95" s="13">
        <f>-FAR[[#This Row],[Carrying value (opening balance)]]/FAR[[#This Row],[Opening RUL 30 June 2026]]</f>
        <v>-183.66666666666697</v>
      </c>
      <c r="BI95" s="13">
        <f>FAR[[#This Row],[Depreciation YTD]]/12</f>
        <v>-15.30555555555558</v>
      </c>
      <c r="BJ95" s="13"/>
      <c r="BK95" s="13" t="s">
        <v>116</v>
      </c>
      <c r="BL95" s="13">
        <v>0</v>
      </c>
      <c r="BM95" s="13">
        <f>FAR[[#This Row],[Accumulated depreciation (Opening balance)]]+FAR[[#This Row],[Depreciation YTD]]+FAR[[#This Row],[Derecognitions (acc dep) '[+']]]</f>
        <v>-3306</v>
      </c>
      <c r="BN95" s="13"/>
      <c r="BO95" s="13"/>
      <c r="BP95" s="13"/>
      <c r="BQ95" s="13"/>
      <c r="BR9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95" s="13">
        <f>FAR[[#This Row],[Cost Price (closing balance)]]+FAR[[#This Row],[Accumulated depreciation (Closing balance)]]+FAR[[#This Row],[Accumulated impairments (Closing balance)]]</f>
        <v>0</v>
      </c>
      <c r="BT95" s="13"/>
      <c r="BU95" s="13"/>
      <c r="BV95" s="13"/>
      <c r="BW95" s="10" t="s">
        <v>167</v>
      </c>
      <c r="BX95" s="9" t="s">
        <v>168</v>
      </c>
      <c r="BY95" s="10"/>
      <c r="BZ95">
        <v>0</v>
      </c>
      <c r="CA95"/>
      <c r="CB95" s="34"/>
      <c r="CC95" s="34"/>
      <c r="CD95" s="34"/>
      <c r="CE95" s="141"/>
    </row>
    <row r="96" spans="1:83">
      <c r="A96" s="35" t="s">
        <v>267</v>
      </c>
      <c r="B96" s="9" t="s">
        <v>872</v>
      </c>
      <c r="C96" s="9" t="s">
        <v>54</v>
      </c>
      <c r="D96" s="10" t="s">
        <v>1</v>
      </c>
      <c r="E96" s="9" t="s">
        <v>115</v>
      </c>
      <c r="F96" s="36" t="s">
        <v>99</v>
      </c>
      <c r="G96" s="9" t="s">
        <v>100</v>
      </c>
      <c r="H96" s="3" t="s">
        <v>128</v>
      </c>
      <c r="I96" s="9" t="s">
        <v>100</v>
      </c>
      <c r="J96" s="36" t="s">
        <v>101</v>
      </c>
      <c r="K96" s="10" t="s">
        <v>559</v>
      </c>
      <c r="L96" s="10" t="s">
        <v>559</v>
      </c>
      <c r="M96" s="9" t="s">
        <v>100</v>
      </c>
      <c r="N96" s="10" t="s">
        <v>432</v>
      </c>
      <c r="O96" s="9" t="s">
        <v>100</v>
      </c>
      <c r="P96" s="10"/>
      <c r="Q96" s="10" t="s">
        <v>432</v>
      </c>
      <c r="R96" s="10" t="s">
        <v>119</v>
      </c>
      <c r="S96" s="10" t="s">
        <v>130</v>
      </c>
      <c r="T96" s="10" t="s">
        <v>120</v>
      </c>
      <c r="U96" s="10" t="s">
        <v>101</v>
      </c>
      <c r="V96" s="10" t="s">
        <v>121</v>
      </c>
      <c r="W96" s="10" t="s">
        <v>122</v>
      </c>
      <c r="X96" s="10" t="s">
        <v>123</v>
      </c>
      <c r="Y96" s="29">
        <v>1</v>
      </c>
      <c r="Z96" s="138" t="s">
        <v>570</v>
      </c>
      <c r="AA96" s="138">
        <v>39171</v>
      </c>
      <c r="AB96" s="9" t="s">
        <v>114</v>
      </c>
      <c r="AC96" s="9" t="s">
        <v>124</v>
      </c>
      <c r="AD96" s="15">
        <v>44651</v>
      </c>
      <c r="AE96" s="39" t="s">
        <v>125</v>
      </c>
      <c r="AF96" s="177">
        <v>6</v>
      </c>
      <c r="AG96" s="140">
        <v>0</v>
      </c>
      <c r="AH96" s="9">
        <v>0</v>
      </c>
      <c r="AI96" s="10" t="s">
        <v>126</v>
      </c>
      <c r="AJ96" s="10"/>
      <c r="AK96" s="29"/>
      <c r="AL96" s="12">
        <v>1</v>
      </c>
      <c r="AM96" s="10"/>
      <c r="AN96" s="12">
        <f>FAR[[#This Row],[Opening RUL]]+FAR[[#This Row],[RUL Adjustment]]</f>
        <v>1</v>
      </c>
      <c r="AO96" s="12">
        <f>FAR[[#This Row],[Opening RUL 30 June 2026]]-1</f>
        <v>0</v>
      </c>
      <c r="AP96" s="12" t="s">
        <v>1050</v>
      </c>
      <c r="AQ96" s="139"/>
      <c r="AR96" s="10" t="s">
        <v>127</v>
      </c>
      <c r="AS96" s="13">
        <v>1824</v>
      </c>
      <c r="AT96" s="13"/>
      <c r="AU96" s="13">
        <v>0</v>
      </c>
      <c r="AV96" s="13">
        <v>0</v>
      </c>
      <c r="AW96" s="13">
        <v>0</v>
      </c>
      <c r="AX96" s="13">
        <v>1824</v>
      </c>
      <c r="AY96" s="13">
        <v>101.33333333333348</v>
      </c>
      <c r="AZ96" s="13">
        <v>0</v>
      </c>
      <c r="BA96" s="13"/>
      <c r="BB96" s="13"/>
      <c r="BC96" s="13">
        <v>-1722.6666666666665</v>
      </c>
      <c r="BD96" s="13"/>
      <c r="BE96" s="13" t="s">
        <v>114</v>
      </c>
      <c r="BF96" s="29"/>
      <c r="BG96" s="13"/>
      <c r="BH96" s="13">
        <f>-FAR[[#This Row],[Carrying value (opening balance)]]/FAR[[#This Row],[Opening RUL 30 June 2026]]</f>
        <v>-101.33333333333348</v>
      </c>
      <c r="BI96" s="13">
        <f>FAR[[#This Row],[Depreciation YTD]]/12</f>
        <v>-8.4444444444444571</v>
      </c>
      <c r="BJ96" s="13"/>
      <c r="BK96" s="13" t="s">
        <v>116</v>
      </c>
      <c r="BL96" s="13">
        <v>0</v>
      </c>
      <c r="BM96" s="13">
        <f>FAR[[#This Row],[Accumulated depreciation (Opening balance)]]+FAR[[#This Row],[Depreciation YTD]]+FAR[[#This Row],[Derecognitions (acc dep) '[+']]]</f>
        <v>-1824</v>
      </c>
      <c r="BN96" s="13"/>
      <c r="BO96" s="13"/>
      <c r="BP96" s="13"/>
      <c r="BQ96" s="13"/>
      <c r="BR9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96" s="13">
        <f>FAR[[#This Row],[Cost Price (closing balance)]]+FAR[[#This Row],[Accumulated depreciation (Closing balance)]]+FAR[[#This Row],[Accumulated impairments (Closing balance)]]</f>
        <v>0</v>
      </c>
      <c r="BT96" s="13"/>
      <c r="BU96" s="13"/>
      <c r="BV96" s="13"/>
      <c r="BW96" s="10" t="s">
        <v>167</v>
      </c>
      <c r="BX96" s="9" t="s">
        <v>168</v>
      </c>
      <c r="BY96" s="10"/>
      <c r="BZ96" t="s">
        <v>956</v>
      </c>
      <c r="CA96"/>
      <c r="CB96" s="34"/>
      <c r="CC96" s="34"/>
      <c r="CD96" s="34"/>
      <c r="CE96" s="141"/>
    </row>
    <row r="97" spans="1:83">
      <c r="A97" s="35" t="s">
        <v>268</v>
      </c>
      <c r="B97" s="9" t="s">
        <v>864</v>
      </c>
      <c r="C97" s="9" t="s">
        <v>54</v>
      </c>
      <c r="D97" s="10" t="s">
        <v>1</v>
      </c>
      <c r="E97" s="9" t="s">
        <v>115</v>
      </c>
      <c r="F97" s="36" t="s">
        <v>99</v>
      </c>
      <c r="G97" s="9" t="s">
        <v>100</v>
      </c>
      <c r="H97" s="3" t="s">
        <v>128</v>
      </c>
      <c r="I97" s="9" t="s">
        <v>100</v>
      </c>
      <c r="J97" s="36" t="s">
        <v>101</v>
      </c>
      <c r="K97" s="10" t="s">
        <v>559</v>
      </c>
      <c r="L97" s="10" t="s">
        <v>559</v>
      </c>
      <c r="M97" s="9" t="s">
        <v>100</v>
      </c>
      <c r="N97" s="10" t="s">
        <v>471</v>
      </c>
      <c r="O97" s="9" t="s">
        <v>100</v>
      </c>
      <c r="P97" s="10"/>
      <c r="Q97" s="10" t="s">
        <v>471</v>
      </c>
      <c r="R97" s="10" t="s">
        <v>119</v>
      </c>
      <c r="S97" s="10" t="s">
        <v>130</v>
      </c>
      <c r="T97" s="10" t="s">
        <v>120</v>
      </c>
      <c r="U97" s="10" t="s">
        <v>101</v>
      </c>
      <c r="V97" s="10" t="s">
        <v>121</v>
      </c>
      <c r="W97" s="10" t="s">
        <v>122</v>
      </c>
      <c r="X97" s="10" t="s">
        <v>123</v>
      </c>
      <c r="Y97" s="29">
        <v>1</v>
      </c>
      <c r="Z97" s="138" t="s">
        <v>571</v>
      </c>
      <c r="AA97" s="138">
        <v>39304</v>
      </c>
      <c r="AB97" s="9" t="s">
        <v>114</v>
      </c>
      <c r="AC97" s="9" t="s">
        <v>124</v>
      </c>
      <c r="AD97" s="15">
        <v>44651</v>
      </c>
      <c r="AE97" s="39" t="s">
        <v>125</v>
      </c>
      <c r="AF97" s="177">
        <v>6</v>
      </c>
      <c r="AG97" s="140">
        <v>0</v>
      </c>
      <c r="AH97" s="9">
        <v>0</v>
      </c>
      <c r="AI97" s="10" t="s">
        <v>126</v>
      </c>
      <c r="AJ97" s="10"/>
      <c r="AK97" s="29"/>
      <c r="AL97" s="12">
        <v>1</v>
      </c>
      <c r="AM97" s="10"/>
      <c r="AN97" s="12">
        <f>FAR[[#This Row],[Opening RUL]]+FAR[[#This Row],[RUL Adjustment]]</f>
        <v>1</v>
      </c>
      <c r="AO97" s="12">
        <f>FAR[[#This Row],[Opening RUL 30 June 2026]]-1</f>
        <v>0</v>
      </c>
      <c r="AP97" s="12" t="s">
        <v>1050</v>
      </c>
      <c r="AQ97" s="139"/>
      <c r="AR97" s="10" t="s">
        <v>127</v>
      </c>
      <c r="AS97" s="13">
        <v>1020.34</v>
      </c>
      <c r="AT97" s="13"/>
      <c r="AU97" s="13">
        <v>0</v>
      </c>
      <c r="AV97" s="13">
        <v>0</v>
      </c>
      <c r="AW97" s="13">
        <v>0</v>
      </c>
      <c r="AX97" s="13">
        <v>1020.34</v>
      </c>
      <c r="AY97" s="13">
        <v>56.685555555555652</v>
      </c>
      <c r="AZ97" s="13">
        <v>0</v>
      </c>
      <c r="BA97" s="13"/>
      <c r="BB97" s="13"/>
      <c r="BC97" s="13">
        <v>-963.65444444444438</v>
      </c>
      <c r="BD97" s="13"/>
      <c r="BE97" s="13" t="s">
        <v>114</v>
      </c>
      <c r="BF97" s="29"/>
      <c r="BG97" s="13"/>
      <c r="BH97" s="13">
        <f>-FAR[[#This Row],[Carrying value (opening balance)]]/FAR[[#This Row],[Opening RUL 30 June 2026]]</f>
        <v>-56.685555555555652</v>
      </c>
      <c r="BI97" s="13">
        <f>FAR[[#This Row],[Depreciation YTD]]/12</f>
        <v>-4.723796296296304</v>
      </c>
      <c r="BJ97" s="13"/>
      <c r="BK97" s="13" t="s">
        <v>116</v>
      </c>
      <c r="BL97" s="13">
        <v>0</v>
      </c>
      <c r="BM97" s="13">
        <f>FAR[[#This Row],[Accumulated depreciation (Opening balance)]]+FAR[[#This Row],[Depreciation YTD]]+FAR[[#This Row],[Derecognitions (acc dep) '[+']]]</f>
        <v>-1020.34</v>
      </c>
      <c r="BN97" s="13"/>
      <c r="BO97" s="13"/>
      <c r="BP97" s="13"/>
      <c r="BQ97" s="13"/>
      <c r="BR9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97" s="13">
        <f>FAR[[#This Row],[Cost Price (closing balance)]]+FAR[[#This Row],[Accumulated depreciation (Closing balance)]]+FAR[[#This Row],[Accumulated impairments (Closing balance)]]</f>
        <v>0</v>
      </c>
      <c r="BT97" s="13"/>
      <c r="BU97" s="13"/>
      <c r="BV97" s="13"/>
      <c r="BW97" s="10" t="s">
        <v>167</v>
      </c>
      <c r="BX97" s="9" t="s">
        <v>168</v>
      </c>
      <c r="BY97" s="10"/>
      <c r="BZ97" t="s">
        <v>948</v>
      </c>
      <c r="CA97"/>
      <c r="CB97" s="34"/>
      <c r="CC97" s="34"/>
      <c r="CD97" s="34"/>
      <c r="CE97" s="141"/>
    </row>
    <row r="98" spans="1:83">
      <c r="A98" s="35" t="s">
        <v>269</v>
      </c>
      <c r="B98" s="9" t="s">
        <v>896</v>
      </c>
      <c r="C98" s="9" t="s">
        <v>54</v>
      </c>
      <c r="D98" s="10" t="s">
        <v>1</v>
      </c>
      <c r="E98" s="9" t="s">
        <v>115</v>
      </c>
      <c r="F98" s="36" t="s">
        <v>99</v>
      </c>
      <c r="G98" s="9" t="s">
        <v>100</v>
      </c>
      <c r="H98" s="3" t="s">
        <v>128</v>
      </c>
      <c r="I98" s="9" t="s">
        <v>100</v>
      </c>
      <c r="J98" s="36" t="s">
        <v>101</v>
      </c>
      <c r="K98" s="10" t="s">
        <v>559</v>
      </c>
      <c r="L98" s="10" t="s">
        <v>559</v>
      </c>
      <c r="M98" s="9" t="s">
        <v>100</v>
      </c>
      <c r="N98" s="10" t="s">
        <v>471</v>
      </c>
      <c r="O98" s="9" t="s">
        <v>100</v>
      </c>
      <c r="P98" s="10"/>
      <c r="Q98" s="10" t="s">
        <v>471</v>
      </c>
      <c r="R98" s="10" t="s">
        <v>119</v>
      </c>
      <c r="S98" s="10" t="s">
        <v>130</v>
      </c>
      <c r="T98" s="10" t="s">
        <v>120</v>
      </c>
      <c r="U98" s="10" t="s">
        <v>101</v>
      </c>
      <c r="V98" s="10" t="s">
        <v>121</v>
      </c>
      <c r="W98" s="10" t="s">
        <v>122</v>
      </c>
      <c r="X98" s="10" t="s">
        <v>123</v>
      </c>
      <c r="Y98" s="29">
        <v>1</v>
      </c>
      <c r="Z98" s="138" t="s">
        <v>571</v>
      </c>
      <c r="AA98" s="138">
        <v>39304</v>
      </c>
      <c r="AB98" s="9" t="s">
        <v>114</v>
      </c>
      <c r="AC98" s="9" t="s">
        <v>124</v>
      </c>
      <c r="AD98" s="15">
        <v>44651</v>
      </c>
      <c r="AE98" s="39" t="s">
        <v>125</v>
      </c>
      <c r="AF98" s="177">
        <v>6</v>
      </c>
      <c r="AG98" s="140">
        <v>0</v>
      </c>
      <c r="AH98" s="9">
        <v>0</v>
      </c>
      <c r="AI98" s="10" t="s">
        <v>126</v>
      </c>
      <c r="AJ98" s="10"/>
      <c r="AK98" s="29"/>
      <c r="AL98" s="12">
        <v>1</v>
      </c>
      <c r="AM98" s="10"/>
      <c r="AN98" s="12">
        <f>FAR[[#This Row],[Opening RUL]]+FAR[[#This Row],[RUL Adjustment]]</f>
        <v>1</v>
      </c>
      <c r="AO98" s="12">
        <f>FAR[[#This Row],[Opening RUL 30 June 2026]]-1</f>
        <v>0</v>
      </c>
      <c r="AP98" s="12" t="s">
        <v>1050</v>
      </c>
      <c r="AQ98" s="139"/>
      <c r="AR98" s="10" t="s">
        <v>127</v>
      </c>
      <c r="AS98" s="13">
        <v>1020.34</v>
      </c>
      <c r="AT98" s="13"/>
      <c r="AU98" s="13">
        <v>0</v>
      </c>
      <c r="AV98" s="13">
        <v>0</v>
      </c>
      <c r="AW98" s="13">
        <v>0</v>
      </c>
      <c r="AX98" s="13">
        <v>1020.34</v>
      </c>
      <c r="AY98" s="13">
        <v>56.685555555555652</v>
      </c>
      <c r="AZ98" s="13">
        <v>0</v>
      </c>
      <c r="BA98" s="13"/>
      <c r="BB98" s="13"/>
      <c r="BC98" s="13">
        <v>-963.65444444444438</v>
      </c>
      <c r="BD98" s="13"/>
      <c r="BE98" s="13" t="s">
        <v>114</v>
      </c>
      <c r="BF98" s="29"/>
      <c r="BG98" s="13"/>
      <c r="BH98" s="13">
        <f>-FAR[[#This Row],[Carrying value (opening balance)]]/FAR[[#This Row],[Opening RUL 30 June 2026]]</f>
        <v>-56.685555555555652</v>
      </c>
      <c r="BI98" s="13">
        <f>FAR[[#This Row],[Depreciation YTD]]/12</f>
        <v>-4.723796296296304</v>
      </c>
      <c r="BJ98" s="13"/>
      <c r="BK98" s="13" t="s">
        <v>116</v>
      </c>
      <c r="BL98" s="13">
        <v>0</v>
      </c>
      <c r="BM98" s="13">
        <f>FAR[[#This Row],[Accumulated depreciation (Opening balance)]]+FAR[[#This Row],[Depreciation YTD]]+FAR[[#This Row],[Derecognitions (acc dep) '[+']]]</f>
        <v>-1020.34</v>
      </c>
      <c r="BN98" s="13"/>
      <c r="BO98" s="13"/>
      <c r="BP98" s="13"/>
      <c r="BQ98" s="13"/>
      <c r="BR9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98" s="13">
        <f>FAR[[#This Row],[Cost Price (closing balance)]]+FAR[[#This Row],[Accumulated depreciation (Closing balance)]]+FAR[[#This Row],[Accumulated impairments (Closing balance)]]</f>
        <v>0</v>
      </c>
      <c r="BT98" s="13"/>
      <c r="BU98" s="13"/>
      <c r="BV98" s="13"/>
      <c r="BW98" s="10" t="s">
        <v>167</v>
      </c>
      <c r="BX98" s="9" t="s">
        <v>168</v>
      </c>
      <c r="BY98" s="10"/>
      <c r="BZ98" t="s">
        <v>948</v>
      </c>
      <c r="CA98"/>
      <c r="CB98" s="34"/>
      <c r="CC98" s="34"/>
      <c r="CD98" s="34"/>
      <c r="CE98" s="141"/>
    </row>
    <row r="99" spans="1:83">
      <c r="A99" s="35" t="s">
        <v>270</v>
      </c>
      <c r="B99" s="9" t="s">
        <v>863</v>
      </c>
      <c r="C99" s="9" t="s">
        <v>54</v>
      </c>
      <c r="D99" s="10" t="s">
        <v>1</v>
      </c>
      <c r="E99" s="9" t="s">
        <v>115</v>
      </c>
      <c r="F99" s="36" t="s">
        <v>99</v>
      </c>
      <c r="G99" s="9" t="s">
        <v>100</v>
      </c>
      <c r="H99" s="3" t="s">
        <v>128</v>
      </c>
      <c r="I99" s="9" t="s">
        <v>100</v>
      </c>
      <c r="J99" s="36" t="s">
        <v>101</v>
      </c>
      <c r="K99" s="10" t="s">
        <v>559</v>
      </c>
      <c r="L99" s="10" t="s">
        <v>559</v>
      </c>
      <c r="M99" s="9" t="s">
        <v>100</v>
      </c>
      <c r="N99" s="10" t="s">
        <v>471</v>
      </c>
      <c r="O99" s="9" t="s">
        <v>100</v>
      </c>
      <c r="P99" s="10"/>
      <c r="Q99" s="10" t="s">
        <v>471</v>
      </c>
      <c r="R99" s="10" t="s">
        <v>119</v>
      </c>
      <c r="S99" s="10" t="s">
        <v>130</v>
      </c>
      <c r="T99" s="10" t="s">
        <v>120</v>
      </c>
      <c r="U99" s="10" t="s">
        <v>101</v>
      </c>
      <c r="V99" s="10" t="s">
        <v>121</v>
      </c>
      <c r="W99" s="10" t="s">
        <v>122</v>
      </c>
      <c r="X99" s="10" t="s">
        <v>123</v>
      </c>
      <c r="Y99" s="29">
        <v>1</v>
      </c>
      <c r="Z99" s="138" t="s">
        <v>571</v>
      </c>
      <c r="AA99" s="138">
        <v>39304</v>
      </c>
      <c r="AB99" s="9" t="s">
        <v>114</v>
      </c>
      <c r="AC99" s="9" t="s">
        <v>124</v>
      </c>
      <c r="AD99" s="15">
        <v>44651</v>
      </c>
      <c r="AE99" s="39" t="s">
        <v>125</v>
      </c>
      <c r="AF99" s="177">
        <v>6</v>
      </c>
      <c r="AG99" s="140">
        <v>0</v>
      </c>
      <c r="AH99" s="9">
        <v>0</v>
      </c>
      <c r="AI99" s="10" t="s">
        <v>126</v>
      </c>
      <c r="AJ99" s="10"/>
      <c r="AK99" s="29"/>
      <c r="AL99" s="12">
        <v>1</v>
      </c>
      <c r="AM99" s="10"/>
      <c r="AN99" s="12">
        <f>FAR[[#This Row],[Opening RUL]]+FAR[[#This Row],[RUL Adjustment]]</f>
        <v>1</v>
      </c>
      <c r="AO99" s="12">
        <f>FAR[[#This Row],[Opening RUL 30 June 2026]]-1</f>
        <v>0</v>
      </c>
      <c r="AP99" s="12" t="s">
        <v>1050</v>
      </c>
      <c r="AQ99" s="139"/>
      <c r="AR99" s="10" t="s">
        <v>127</v>
      </c>
      <c r="AS99" s="13">
        <v>1020.34</v>
      </c>
      <c r="AT99" s="13"/>
      <c r="AU99" s="13">
        <v>0</v>
      </c>
      <c r="AV99" s="13">
        <v>0</v>
      </c>
      <c r="AW99" s="13">
        <v>0</v>
      </c>
      <c r="AX99" s="13">
        <v>1020.34</v>
      </c>
      <c r="AY99" s="13">
        <v>56.685555555555652</v>
      </c>
      <c r="AZ99" s="13">
        <v>0</v>
      </c>
      <c r="BA99" s="13"/>
      <c r="BB99" s="13"/>
      <c r="BC99" s="13">
        <v>-963.65444444444438</v>
      </c>
      <c r="BD99" s="13"/>
      <c r="BE99" s="13" t="s">
        <v>114</v>
      </c>
      <c r="BF99" s="29"/>
      <c r="BG99" s="13"/>
      <c r="BH99" s="13">
        <f>-FAR[[#This Row],[Carrying value (opening balance)]]/FAR[[#This Row],[Opening RUL 30 June 2026]]</f>
        <v>-56.685555555555652</v>
      </c>
      <c r="BI99" s="13">
        <f>FAR[[#This Row],[Depreciation YTD]]/12</f>
        <v>-4.723796296296304</v>
      </c>
      <c r="BJ99" s="13"/>
      <c r="BK99" s="13" t="s">
        <v>116</v>
      </c>
      <c r="BL99" s="13">
        <v>0</v>
      </c>
      <c r="BM99" s="13">
        <f>FAR[[#This Row],[Accumulated depreciation (Opening balance)]]+FAR[[#This Row],[Depreciation YTD]]+FAR[[#This Row],[Derecognitions (acc dep) '[+']]]</f>
        <v>-1020.34</v>
      </c>
      <c r="BN99" s="13"/>
      <c r="BO99" s="13"/>
      <c r="BP99" s="13"/>
      <c r="BQ99" s="13"/>
      <c r="BR9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99" s="13">
        <f>FAR[[#This Row],[Cost Price (closing balance)]]+FAR[[#This Row],[Accumulated depreciation (Closing balance)]]+FAR[[#This Row],[Accumulated impairments (Closing balance)]]</f>
        <v>0</v>
      </c>
      <c r="BT99" s="13"/>
      <c r="BU99" s="13"/>
      <c r="BV99" s="13"/>
      <c r="BW99" s="10" t="s">
        <v>167</v>
      </c>
      <c r="BX99" s="9" t="s">
        <v>168</v>
      </c>
      <c r="BY99" s="10"/>
      <c r="BZ99" t="s">
        <v>947</v>
      </c>
      <c r="CA99"/>
      <c r="CB99" s="34"/>
      <c r="CC99" s="34"/>
      <c r="CD99" s="34"/>
      <c r="CE99" s="141"/>
    </row>
    <row r="100" spans="1:83">
      <c r="A100" s="35" t="s">
        <v>271</v>
      </c>
      <c r="B100" s="9" t="s">
        <v>864</v>
      </c>
      <c r="C100" s="9" t="s">
        <v>54</v>
      </c>
      <c r="D100" s="10" t="s">
        <v>1</v>
      </c>
      <c r="E100" s="9" t="s">
        <v>115</v>
      </c>
      <c r="F100" s="36" t="s">
        <v>99</v>
      </c>
      <c r="G100" s="9" t="s">
        <v>100</v>
      </c>
      <c r="H100" s="3" t="s">
        <v>128</v>
      </c>
      <c r="I100" s="9" t="s">
        <v>100</v>
      </c>
      <c r="J100" s="36" t="s">
        <v>101</v>
      </c>
      <c r="K100" s="10" t="s">
        <v>559</v>
      </c>
      <c r="L100" s="10" t="s">
        <v>559</v>
      </c>
      <c r="M100" s="9" t="s">
        <v>100</v>
      </c>
      <c r="N100" s="10" t="s">
        <v>472</v>
      </c>
      <c r="O100" s="9" t="s">
        <v>100</v>
      </c>
      <c r="P100" s="10"/>
      <c r="Q100" s="10" t="s">
        <v>472</v>
      </c>
      <c r="R100" s="10" t="s">
        <v>119</v>
      </c>
      <c r="S100" s="10" t="s">
        <v>130</v>
      </c>
      <c r="T100" s="10" t="s">
        <v>120</v>
      </c>
      <c r="U100" s="10" t="s">
        <v>101</v>
      </c>
      <c r="V100" s="10" t="s">
        <v>121</v>
      </c>
      <c r="W100" s="10" t="s">
        <v>122</v>
      </c>
      <c r="X100" s="10" t="s">
        <v>123</v>
      </c>
      <c r="Y100" s="29">
        <v>1</v>
      </c>
      <c r="Z100" s="138" t="s">
        <v>571</v>
      </c>
      <c r="AA100" s="138">
        <v>39304</v>
      </c>
      <c r="AB100" s="9" t="s">
        <v>114</v>
      </c>
      <c r="AC100" s="9" t="s">
        <v>124</v>
      </c>
      <c r="AD100" s="15">
        <v>44651</v>
      </c>
      <c r="AE100" s="39" t="s">
        <v>125</v>
      </c>
      <c r="AF100" s="177">
        <v>6</v>
      </c>
      <c r="AG100" s="140">
        <v>0</v>
      </c>
      <c r="AH100" s="9">
        <v>0</v>
      </c>
      <c r="AI100" s="10" t="s">
        <v>126</v>
      </c>
      <c r="AJ100" s="10"/>
      <c r="AK100" s="29"/>
      <c r="AL100" s="12">
        <v>1</v>
      </c>
      <c r="AM100" s="10"/>
      <c r="AN100" s="12">
        <f>FAR[[#This Row],[Opening RUL]]+FAR[[#This Row],[RUL Adjustment]]</f>
        <v>1</v>
      </c>
      <c r="AO100" s="12">
        <f>FAR[[#This Row],[Opening RUL 30 June 2026]]-1</f>
        <v>0</v>
      </c>
      <c r="AP100" s="12" t="s">
        <v>1050</v>
      </c>
      <c r="AQ100" s="139"/>
      <c r="AR100" s="10" t="s">
        <v>127</v>
      </c>
      <c r="AS100" s="13">
        <v>4733.5200000000004</v>
      </c>
      <c r="AT100" s="13"/>
      <c r="AU100" s="13">
        <v>0</v>
      </c>
      <c r="AV100" s="13">
        <v>0</v>
      </c>
      <c r="AW100" s="13">
        <v>0</v>
      </c>
      <c r="AX100" s="13">
        <v>4733.5200000000004</v>
      </c>
      <c r="AY100" s="13">
        <v>262.97333333333336</v>
      </c>
      <c r="AZ100" s="13">
        <v>0</v>
      </c>
      <c r="BA100" s="13"/>
      <c r="BB100" s="13"/>
      <c r="BC100" s="13">
        <v>-4470.5466666666671</v>
      </c>
      <c r="BD100" s="13"/>
      <c r="BE100" s="13" t="s">
        <v>114</v>
      </c>
      <c r="BF100" s="29"/>
      <c r="BG100" s="13"/>
      <c r="BH100" s="13">
        <f>-FAR[[#This Row],[Carrying value (opening balance)]]/FAR[[#This Row],[Opening RUL 30 June 2026]]</f>
        <v>-262.97333333333336</v>
      </c>
      <c r="BI100" s="13">
        <f>FAR[[#This Row],[Depreciation YTD]]/12</f>
        <v>-21.914444444444445</v>
      </c>
      <c r="BJ100" s="13"/>
      <c r="BK100" s="13" t="s">
        <v>116</v>
      </c>
      <c r="BL100" s="13">
        <v>0</v>
      </c>
      <c r="BM100" s="13">
        <f>FAR[[#This Row],[Accumulated depreciation (Opening balance)]]+FAR[[#This Row],[Depreciation YTD]]+FAR[[#This Row],[Derecognitions (acc dep) '[+']]]</f>
        <v>-4733.5200000000004</v>
      </c>
      <c r="BN100" s="13"/>
      <c r="BO100" s="13"/>
      <c r="BP100" s="13"/>
      <c r="BQ100" s="13"/>
      <c r="BR10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00" s="13">
        <f>FAR[[#This Row],[Cost Price (closing balance)]]+FAR[[#This Row],[Accumulated depreciation (Closing balance)]]+FAR[[#This Row],[Accumulated impairments (Closing balance)]]</f>
        <v>0</v>
      </c>
      <c r="BT100" s="13"/>
      <c r="BU100" s="13"/>
      <c r="BV100" s="13"/>
      <c r="BW100" s="10" t="s">
        <v>167</v>
      </c>
      <c r="BX100" s="9" t="s">
        <v>168</v>
      </c>
      <c r="BY100" s="10"/>
      <c r="BZ100" t="s">
        <v>948</v>
      </c>
      <c r="CA100"/>
      <c r="CB100" s="34"/>
      <c r="CC100" s="34"/>
      <c r="CD100" s="34"/>
      <c r="CE100" s="141"/>
    </row>
    <row r="101" spans="1:83">
      <c r="A101" s="35" t="s">
        <v>272</v>
      </c>
      <c r="B101" s="9" t="s">
        <v>864</v>
      </c>
      <c r="C101" s="9" t="s">
        <v>54</v>
      </c>
      <c r="D101" s="10" t="s">
        <v>1</v>
      </c>
      <c r="E101" s="9" t="s">
        <v>115</v>
      </c>
      <c r="F101" s="36" t="s">
        <v>99</v>
      </c>
      <c r="G101" s="9" t="s">
        <v>100</v>
      </c>
      <c r="H101" s="3" t="s">
        <v>128</v>
      </c>
      <c r="I101" s="9" t="s">
        <v>100</v>
      </c>
      <c r="J101" s="36" t="s">
        <v>101</v>
      </c>
      <c r="K101" s="10" t="s">
        <v>559</v>
      </c>
      <c r="L101" s="10" t="s">
        <v>559</v>
      </c>
      <c r="M101" s="9" t="s">
        <v>100</v>
      </c>
      <c r="N101" s="10" t="s">
        <v>472</v>
      </c>
      <c r="O101" s="9" t="s">
        <v>100</v>
      </c>
      <c r="P101" s="10"/>
      <c r="Q101" s="10" t="s">
        <v>472</v>
      </c>
      <c r="R101" s="10" t="s">
        <v>119</v>
      </c>
      <c r="S101" s="10" t="s">
        <v>130</v>
      </c>
      <c r="T101" s="10" t="s">
        <v>120</v>
      </c>
      <c r="U101" s="10" t="s">
        <v>101</v>
      </c>
      <c r="V101" s="10" t="s">
        <v>121</v>
      </c>
      <c r="W101" s="10" t="s">
        <v>122</v>
      </c>
      <c r="X101" s="10" t="s">
        <v>123</v>
      </c>
      <c r="Y101" s="29">
        <v>1</v>
      </c>
      <c r="Z101" s="138" t="s">
        <v>571</v>
      </c>
      <c r="AA101" s="138">
        <v>39304</v>
      </c>
      <c r="AB101" s="9" t="s">
        <v>114</v>
      </c>
      <c r="AC101" s="9" t="s">
        <v>124</v>
      </c>
      <c r="AD101" s="15">
        <v>44651</v>
      </c>
      <c r="AE101" s="39" t="s">
        <v>125</v>
      </c>
      <c r="AF101" s="177">
        <v>6</v>
      </c>
      <c r="AG101" s="140">
        <v>0</v>
      </c>
      <c r="AH101" s="9">
        <v>0</v>
      </c>
      <c r="AI101" s="10" t="s">
        <v>126</v>
      </c>
      <c r="AJ101" s="10"/>
      <c r="AK101" s="29"/>
      <c r="AL101" s="12">
        <v>1</v>
      </c>
      <c r="AM101" s="10"/>
      <c r="AN101" s="12">
        <f>FAR[[#This Row],[Opening RUL]]+FAR[[#This Row],[RUL Adjustment]]</f>
        <v>1</v>
      </c>
      <c r="AO101" s="12">
        <f>FAR[[#This Row],[Opening RUL 30 June 2026]]-1</f>
        <v>0</v>
      </c>
      <c r="AP101" s="12" t="s">
        <v>1050</v>
      </c>
      <c r="AQ101" s="139"/>
      <c r="AR101" s="10" t="s">
        <v>127</v>
      </c>
      <c r="AS101" s="13">
        <v>4733.5200000000004</v>
      </c>
      <c r="AT101" s="13"/>
      <c r="AU101" s="13">
        <v>0</v>
      </c>
      <c r="AV101" s="13">
        <v>0</v>
      </c>
      <c r="AW101" s="13">
        <v>0</v>
      </c>
      <c r="AX101" s="13">
        <v>4733.5200000000004</v>
      </c>
      <c r="AY101" s="13">
        <v>262.97333333333336</v>
      </c>
      <c r="AZ101" s="13">
        <v>0</v>
      </c>
      <c r="BA101" s="13"/>
      <c r="BB101" s="13"/>
      <c r="BC101" s="13">
        <v>-4470.5466666666671</v>
      </c>
      <c r="BD101" s="13"/>
      <c r="BE101" s="13" t="s">
        <v>114</v>
      </c>
      <c r="BF101" s="29"/>
      <c r="BG101" s="13"/>
      <c r="BH101" s="13">
        <f>-FAR[[#This Row],[Carrying value (opening balance)]]/FAR[[#This Row],[Opening RUL 30 June 2026]]</f>
        <v>-262.97333333333336</v>
      </c>
      <c r="BI101" s="13">
        <f>FAR[[#This Row],[Depreciation YTD]]/12</f>
        <v>-21.914444444444445</v>
      </c>
      <c r="BJ101" s="13"/>
      <c r="BK101" s="13" t="s">
        <v>116</v>
      </c>
      <c r="BL101" s="13">
        <v>0</v>
      </c>
      <c r="BM101" s="13">
        <f>FAR[[#This Row],[Accumulated depreciation (Opening balance)]]+FAR[[#This Row],[Depreciation YTD]]+FAR[[#This Row],[Derecognitions (acc dep) '[+']]]</f>
        <v>-4733.5200000000004</v>
      </c>
      <c r="BN101" s="13"/>
      <c r="BO101" s="13"/>
      <c r="BP101" s="13"/>
      <c r="BQ101" s="13"/>
      <c r="BR10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01" s="13">
        <f>FAR[[#This Row],[Cost Price (closing balance)]]+FAR[[#This Row],[Accumulated depreciation (Closing balance)]]+FAR[[#This Row],[Accumulated impairments (Closing balance)]]</f>
        <v>0</v>
      </c>
      <c r="BT101" s="13"/>
      <c r="BU101" s="13"/>
      <c r="BV101" s="13"/>
      <c r="BW101" s="10" t="s">
        <v>167</v>
      </c>
      <c r="BX101" s="9" t="s">
        <v>168</v>
      </c>
      <c r="BY101" s="10"/>
      <c r="BZ101" t="s">
        <v>948</v>
      </c>
      <c r="CA101"/>
      <c r="CB101" s="34"/>
      <c r="CC101" s="34"/>
      <c r="CD101" s="34"/>
      <c r="CE101" s="141"/>
    </row>
    <row r="102" spans="1:83">
      <c r="A102" s="35" t="s">
        <v>273</v>
      </c>
      <c r="B102" s="9" t="s">
        <v>854</v>
      </c>
      <c r="C102" s="9" t="s">
        <v>54</v>
      </c>
      <c r="D102" s="10" t="s">
        <v>1</v>
      </c>
      <c r="E102" s="9" t="s">
        <v>115</v>
      </c>
      <c r="F102" s="36" t="s">
        <v>99</v>
      </c>
      <c r="G102" s="9" t="s">
        <v>100</v>
      </c>
      <c r="H102" s="3" t="s">
        <v>128</v>
      </c>
      <c r="I102" s="9" t="s">
        <v>100</v>
      </c>
      <c r="J102" s="36" t="s">
        <v>101</v>
      </c>
      <c r="K102" s="10" t="s">
        <v>559</v>
      </c>
      <c r="L102" s="10" t="s">
        <v>559</v>
      </c>
      <c r="M102" s="9" t="s">
        <v>100</v>
      </c>
      <c r="N102" s="10" t="s">
        <v>473</v>
      </c>
      <c r="O102" s="9" t="s">
        <v>100</v>
      </c>
      <c r="P102" s="10"/>
      <c r="Q102" s="10" t="s">
        <v>473</v>
      </c>
      <c r="R102" s="10" t="s">
        <v>119</v>
      </c>
      <c r="S102" s="10" t="s">
        <v>130</v>
      </c>
      <c r="T102" s="10" t="s">
        <v>120</v>
      </c>
      <c r="U102" s="10" t="s">
        <v>101</v>
      </c>
      <c r="V102" s="10" t="s">
        <v>121</v>
      </c>
      <c r="W102" s="10" t="s">
        <v>122</v>
      </c>
      <c r="X102" s="10" t="s">
        <v>123</v>
      </c>
      <c r="Y102" s="29">
        <v>1</v>
      </c>
      <c r="Z102" s="138" t="s">
        <v>571</v>
      </c>
      <c r="AA102" s="138">
        <v>39304</v>
      </c>
      <c r="AB102" s="9" t="s">
        <v>114</v>
      </c>
      <c r="AC102" s="9" t="s">
        <v>124</v>
      </c>
      <c r="AD102" s="15">
        <v>44651</v>
      </c>
      <c r="AE102" s="39" t="s">
        <v>125</v>
      </c>
      <c r="AF102" s="177">
        <v>6</v>
      </c>
      <c r="AG102" s="140">
        <v>0</v>
      </c>
      <c r="AH102" s="9">
        <v>0</v>
      </c>
      <c r="AI102" s="10" t="s">
        <v>126</v>
      </c>
      <c r="AJ102" s="10"/>
      <c r="AK102" s="29"/>
      <c r="AL102" s="12">
        <v>1</v>
      </c>
      <c r="AM102" s="10"/>
      <c r="AN102" s="12">
        <f>FAR[[#This Row],[Opening RUL]]+FAR[[#This Row],[RUL Adjustment]]</f>
        <v>1</v>
      </c>
      <c r="AO102" s="12">
        <f>FAR[[#This Row],[Opening RUL 30 June 2026]]-1</f>
        <v>0</v>
      </c>
      <c r="AP102" s="12" t="s">
        <v>1051</v>
      </c>
      <c r="AQ102" s="139"/>
      <c r="AR102" s="10" t="s">
        <v>127</v>
      </c>
      <c r="AS102" s="13">
        <v>1262.27</v>
      </c>
      <c r="AT102" s="13"/>
      <c r="AU102" s="13">
        <v>0</v>
      </c>
      <c r="AV102" s="13">
        <v>0</v>
      </c>
      <c r="AW102" s="13">
        <v>0</v>
      </c>
      <c r="AX102" s="13">
        <v>1262.27</v>
      </c>
      <c r="AY102" s="13">
        <v>70.126111111111186</v>
      </c>
      <c r="AZ102" s="13">
        <v>0</v>
      </c>
      <c r="BA102" s="13"/>
      <c r="BB102" s="13"/>
      <c r="BC102" s="13">
        <v>-1192.1438888888888</v>
      </c>
      <c r="BD102" s="13"/>
      <c r="BE102" s="13" t="s">
        <v>114</v>
      </c>
      <c r="BF102" s="29"/>
      <c r="BG102" s="13"/>
      <c r="BH102" s="13">
        <f>-FAR[[#This Row],[Carrying value (opening balance)]]/FAR[[#This Row],[Opening RUL 30 June 2026]]</f>
        <v>-70.126111111111186</v>
      </c>
      <c r="BI102" s="13">
        <f>FAR[[#This Row],[Depreciation YTD]]/12</f>
        <v>-5.8438425925925985</v>
      </c>
      <c r="BJ102" s="13"/>
      <c r="BK102" s="13" t="s">
        <v>116</v>
      </c>
      <c r="BL102" s="13">
        <v>0</v>
      </c>
      <c r="BM102" s="13">
        <f>FAR[[#This Row],[Accumulated depreciation (Opening balance)]]+FAR[[#This Row],[Depreciation YTD]]+FAR[[#This Row],[Derecognitions (acc dep) '[+']]]</f>
        <v>-1262.27</v>
      </c>
      <c r="BN102" s="13"/>
      <c r="BO102" s="13"/>
      <c r="BP102" s="13"/>
      <c r="BQ102" s="13"/>
      <c r="BR10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02" s="13">
        <f>FAR[[#This Row],[Cost Price (closing balance)]]+FAR[[#This Row],[Accumulated depreciation (Closing balance)]]+FAR[[#This Row],[Accumulated impairments (Closing balance)]]</f>
        <v>0</v>
      </c>
      <c r="BT102" s="13"/>
      <c r="BU102" s="13"/>
      <c r="BV102" s="13"/>
      <c r="BW102" s="10" t="s">
        <v>167</v>
      </c>
      <c r="BX102" s="9" t="s">
        <v>168</v>
      </c>
      <c r="BY102" s="10"/>
      <c r="BZ102" t="s">
        <v>940</v>
      </c>
      <c r="CA102"/>
      <c r="CB102" s="34"/>
      <c r="CC102" s="34"/>
      <c r="CD102" s="34"/>
      <c r="CE102" s="141"/>
    </row>
    <row r="103" spans="1:83">
      <c r="A103" s="35" t="s">
        <v>274</v>
      </c>
      <c r="B103" s="9">
        <v>0</v>
      </c>
      <c r="C103" s="9" t="s">
        <v>54</v>
      </c>
      <c r="D103" s="10" t="s">
        <v>1</v>
      </c>
      <c r="E103" s="9" t="s">
        <v>115</v>
      </c>
      <c r="F103" s="36" t="s">
        <v>99</v>
      </c>
      <c r="G103" s="9" t="s">
        <v>100</v>
      </c>
      <c r="H103" s="3" t="s">
        <v>128</v>
      </c>
      <c r="I103" s="9" t="s">
        <v>100</v>
      </c>
      <c r="J103" s="36" t="s">
        <v>101</v>
      </c>
      <c r="K103" s="10" t="s">
        <v>559</v>
      </c>
      <c r="L103" s="10" t="s">
        <v>559</v>
      </c>
      <c r="M103" s="9" t="s">
        <v>100</v>
      </c>
      <c r="N103" s="10" t="s">
        <v>474</v>
      </c>
      <c r="O103" s="9" t="s">
        <v>100</v>
      </c>
      <c r="P103" s="10"/>
      <c r="Q103" s="10" t="s">
        <v>474</v>
      </c>
      <c r="R103" s="10" t="s">
        <v>119</v>
      </c>
      <c r="S103" s="10" t="s">
        <v>130</v>
      </c>
      <c r="T103" s="10" t="s">
        <v>120</v>
      </c>
      <c r="U103" s="10" t="s">
        <v>101</v>
      </c>
      <c r="V103" s="10" t="s">
        <v>121</v>
      </c>
      <c r="W103" s="10" t="s">
        <v>122</v>
      </c>
      <c r="X103" s="10" t="s">
        <v>123</v>
      </c>
      <c r="Y103" s="29">
        <v>1</v>
      </c>
      <c r="Z103" s="138" t="s">
        <v>572</v>
      </c>
      <c r="AA103" s="138">
        <v>39478</v>
      </c>
      <c r="AB103" s="9" t="s">
        <v>114</v>
      </c>
      <c r="AC103" s="9" t="s">
        <v>124</v>
      </c>
      <c r="AD103" s="15">
        <v>44651</v>
      </c>
      <c r="AE103" s="39" t="s">
        <v>125</v>
      </c>
      <c r="AF103" s="177">
        <v>6</v>
      </c>
      <c r="AG103" s="140">
        <v>0</v>
      </c>
      <c r="AH103" s="9">
        <v>0</v>
      </c>
      <c r="AI103" s="10" t="s">
        <v>126</v>
      </c>
      <c r="AJ103" s="10"/>
      <c r="AK103" s="29"/>
      <c r="AL103" s="12">
        <v>1</v>
      </c>
      <c r="AM103" s="10"/>
      <c r="AN103" s="12">
        <f>FAR[[#This Row],[Opening RUL]]+FAR[[#This Row],[RUL Adjustment]]</f>
        <v>1</v>
      </c>
      <c r="AO103" s="12">
        <f>FAR[[#This Row],[Opening RUL 30 June 2026]]-1</f>
        <v>0</v>
      </c>
      <c r="AP103" s="12">
        <v>0</v>
      </c>
      <c r="AQ103" s="139"/>
      <c r="AR103" s="10" t="s">
        <v>127</v>
      </c>
      <c r="AS103" s="13">
        <v>957.6</v>
      </c>
      <c r="AT103" s="13"/>
      <c r="AU103" s="13">
        <v>0</v>
      </c>
      <c r="AV103" s="13">
        <v>0</v>
      </c>
      <c r="AW103" s="13">
        <v>0</v>
      </c>
      <c r="AX103" s="13">
        <v>957.6</v>
      </c>
      <c r="AY103" s="13">
        <v>53.199999999999932</v>
      </c>
      <c r="AZ103" s="13">
        <v>0</v>
      </c>
      <c r="BA103" s="13"/>
      <c r="BB103" s="13"/>
      <c r="BC103" s="13">
        <v>-904.40000000000009</v>
      </c>
      <c r="BD103" s="13"/>
      <c r="BE103" s="13" t="s">
        <v>114</v>
      </c>
      <c r="BF103" s="29"/>
      <c r="BG103" s="13"/>
      <c r="BH103" s="13">
        <f>-FAR[[#This Row],[Carrying value (opening balance)]]/FAR[[#This Row],[Opening RUL 30 June 2026]]</f>
        <v>-53.199999999999932</v>
      </c>
      <c r="BI103" s="13">
        <f>FAR[[#This Row],[Depreciation YTD]]/12</f>
        <v>-4.4333333333333274</v>
      </c>
      <c r="BJ103" s="13"/>
      <c r="BK103" s="13" t="s">
        <v>116</v>
      </c>
      <c r="BL103" s="13">
        <v>0</v>
      </c>
      <c r="BM103" s="13">
        <f>FAR[[#This Row],[Accumulated depreciation (Opening balance)]]+FAR[[#This Row],[Depreciation YTD]]+FAR[[#This Row],[Derecognitions (acc dep) '[+']]]</f>
        <v>-957.6</v>
      </c>
      <c r="BN103" s="13"/>
      <c r="BO103" s="13"/>
      <c r="BP103" s="13"/>
      <c r="BQ103" s="13"/>
      <c r="BR10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03" s="13">
        <f>FAR[[#This Row],[Cost Price (closing balance)]]+FAR[[#This Row],[Accumulated depreciation (Closing balance)]]+FAR[[#This Row],[Accumulated impairments (Closing balance)]]</f>
        <v>0</v>
      </c>
      <c r="BT103" s="13"/>
      <c r="BU103" s="13"/>
      <c r="BV103" s="13"/>
      <c r="BW103" s="10" t="s">
        <v>167</v>
      </c>
      <c r="BX103" s="9" t="s">
        <v>168</v>
      </c>
      <c r="BY103" s="10"/>
      <c r="BZ103">
        <v>0</v>
      </c>
      <c r="CA103"/>
      <c r="CB103" s="34"/>
      <c r="CC103" s="34"/>
      <c r="CD103" s="34"/>
      <c r="CE103" s="141"/>
    </row>
    <row r="104" spans="1:83">
      <c r="A104" s="35" t="s">
        <v>275</v>
      </c>
      <c r="B104" s="9" t="s">
        <v>863</v>
      </c>
      <c r="C104" s="9" t="s">
        <v>54</v>
      </c>
      <c r="D104" s="10" t="s">
        <v>1</v>
      </c>
      <c r="E104" s="9" t="s">
        <v>115</v>
      </c>
      <c r="F104" s="36" t="s">
        <v>99</v>
      </c>
      <c r="G104" s="9" t="s">
        <v>100</v>
      </c>
      <c r="H104" s="3" t="s">
        <v>128</v>
      </c>
      <c r="I104" s="9" t="s">
        <v>100</v>
      </c>
      <c r="J104" s="36" t="s">
        <v>101</v>
      </c>
      <c r="K104" s="10" t="s">
        <v>559</v>
      </c>
      <c r="L104" s="10" t="s">
        <v>559</v>
      </c>
      <c r="M104" s="9" t="s">
        <v>100</v>
      </c>
      <c r="N104" s="10" t="s">
        <v>475</v>
      </c>
      <c r="O104" s="9" t="s">
        <v>100</v>
      </c>
      <c r="P104" s="10"/>
      <c r="Q104" s="10" t="s">
        <v>475</v>
      </c>
      <c r="R104" s="10" t="s">
        <v>119</v>
      </c>
      <c r="S104" s="10" t="s">
        <v>130</v>
      </c>
      <c r="T104" s="10" t="s">
        <v>120</v>
      </c>
      <c r="U104" s="10" t="s">
        <v>101</v>
      </c>
      <c r="V104" s="10" t="s">
        <v>121</v>
      </c>
      <c r="W104" s="10" t="s">
        <v>122</v>
      </c>
      <c r="X104" s="10" t="s">
        <v>123</v>
      </c>
      <c r="Y104" s="29">
        <v>1</v>
      </c>
      <c r="Z104" s="138" t="s">
        <v>572</v>
      </c>
      <c r="AA104" s="138">
        <v>39478</v>
      </c>
      <c r="AB104" s="9" t="s">
        <v>114</v>
      </c>
      <c r="AC104" s="9" t="s">
        <v>124</v>
      </c>
      <c r="AD104" s="15">
        <v>44651</v>
      </c>
      <c r="AE104" s="39" t="s">
        <v>125</v>
      </c>
      <c r="AF104" s="177">
        <v>6</v>
      </c>
      <c r="AG104" s="140">
        <v>0</v>
      </c>
      <c r="AH104" s="9">
        <v>0</v>
      </c>
      <c r="AI104" s="10" t="s">
        <v>126</v>
      </c>
      <c r="AJ104" s="10"/>
      <c r="AK104" s="29"/>
      <c r="AL104" s="12">
        <v>1</v>
      </c>
      <c r="AM104" s="10"/>
      <c r="AN104" s="12">
        <f>FAR[[#This Row],[Opening RUL]]+FAR[[#This Row],[RUL Adjustment]]</f>
        <v>1</v>
      </c>
      <c r="AO104" s="12">
        <f>FAR[[#This Row],[Opening RUL 30 June 2026]]-1</f>
        <v>0</v>
      </c>
      <c r="AP104" s="12" t="s">
        <v>1051</v>
      </c>
      <c r="AQ104" s="139"/>
      <c r="AR104" s="10" t="s">
        <v>127</v>
      </c>
      <c r="AS104" s="13">
        <v>1750</v>
      </c>
      <c r="AT104" s="13"/>
      <c r="AU104" s="13">
        <v>0</v>
      </c>
      <c r="AV104" s="13">
        <v>0</v>
      </c>
      <c r="AW104" s="13">
        <v>0</v>
      </c>
      <c r="AX104" s="13">
        <v>1750</v>
      </c>
      <c r="AY104" s="13">
        <v>97.222222222222172</v>
      </c>
      <c r="AZ104" s="13">
        <v>0</v>
      </c>
      <c r="BA104" s="13"/>
      <c r="BB104" s="13"/>
      <c r="BC104" s="13">
        <v>-1652.7777777777778</v>
      </c>
      <c r="BD104" s="13"/>
      <c r="BE104" s="13" t="s">
        <v>114</v>
      </c>
      <c r="BF104" s="29"/>
      <c r="BG104" s="13"/>
      <c r="BH104" s="13">
        <f>-FAR[[#This Row],[Carrying value (opening balance)]]/FAR[[#This Row],[Opening RUL 30 June 2026]]</f>
        <v>-97.222222222222172</v>
      </c>
      <c r="BI104" s="13">
        <f>FAR[[#This Row],[Depreciation YTD]]/12</f>
        <v>-8.1018518518518476</v>
      </c>
      <c r="BJ104" s="13"/>
      <c r="BK104" s="13" t="s">
        <v>116</v>
      </c>
      <c r="BL104" s="13">
        <v>0</v>
      </c>
      <c r="BM104" s="13">
        <f>FAR[[#This Row],[Accumulated depreciation (Opening balance)]]+FAR[[#This Row],[Depreciation YTD]]+FAR[[#This Row],[Derecognitions (acc dep) '[+']]]</f>
        <v>-1750</v>
      </c>
      <c r="BN104" s="13"/>
      <c r="BO104" s="13"/>
      <c r="BP104" s="13"/>
      <c r="BQ104" s="13"/>
      <c r="BR10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04" s="13">
        <f>FAR[[#This Row],[Cost Price (closing balance)]]+FAR[[#This Row],[Accumulated depreciation (Closing balance)]]+FAR[[#This Row],[Accumulated impairments (Closing balance)]]</f>
        <v>0</v>
      </c>
      <c r="BT104" s="13"/>
      <c r="BU104" s="13"/>
      <c r="BV104" s="13"/>
      <c r="BW104" s="10" t="s">
        <v>167</v>
      </c>
      <c r="BX104" s="9" t="s">
        <v>168</v>
      </c>
      <c r="BY104" s="10"/>
      <c r="BZ104" t="s">
        <v>947</v>
      </c>
      <c r="CA104"/>
      <c r="CB104" s="34"/>
      <c r="CC104" s="34"/>
      <c r="CD104" s="34"/>
      <c r="CE104" s="141"/>
    </row>
    <row r="105" spans="1:83">
      <c r="A105" s="35" t="s">
        <v>276</v>
      </c>
      <c r="B105" s="9" t="s">
        <v>863</v>
      </c>
      <c r="C105" s="9" t="s">
        <v>54</v>
      </c>
      <c r="D105" s="10" t="s">
        <v>1</v>
      </c>
      <c r="E105" s="9" t="s">
        <v>115</v>
      </c>
      <c r="F105" s="36" t="s">
        <v>99</v>
      </c>
      <c r="G105" s="9" t="s">
        <v>100</v>
      </c>
      <c r="H105" s="3" t="s">
        <v>128</v>
      </c>
      <c r="I105" s="9" t="s">
        <v>100</v>
      </c>
      <c r="J105" s="36" t="s">
        <v>101</v>
      </c>
      <c r="K105" s="10" t="s">
        <v>559</v>
      </c>
      <c r="L105" s="10" t="s">
        <v>559</v>
      </c>
      <c r="M105" s="9" t="s">
        <v>100</v>
      </c>
      <c r="N105" s="10" t="s">
        <v>475</v>
      </c>
      <c r="O105" s="9" t="s">
        <v>100</v>
      </c>
      <c r="P105" s="10"/>
      <c r="Q105" s="10" t="s">
        <v>475</v>
      </c>
      <c r="R105" s="10" t="s">
        <v>119</v>
      </c>
      <c r="S105" s="10" t="s">
        <v>130</v>
      </c>
      <c r="T105" s="10" t="s">
        <v>120</v>
      </c>
      <c r="U105" s="10" t="s">
        <v>101</v>
      </c>
      <c r="V105" s="10" t="s">
        <v>121</v>
      </c>
      <c r="W105" s="10" t="s">
        <v>122</v>
      </c>
      <c r="X105" s="10" t="s">
        <v>123</v>
      </c>
      <c r="Y105" s="29">
        <v>1</v>
      </c>
      <c r="Z105" s="138" t="s">
        <v>572</v>
      </c>
      <c r="AA105" s="138">
        <v>39478</v>
      </c>
      <c r="AB105" s="9" t="s">
        <v>114</v>
      </c>
      <c r="AC105" s="9" t="s">
        <v>124</v>
      </c>
      <c r="AD105" s="15">
        <v>44651</v>
      </c>
      <c r="AE105" s="39" t="s">
        <v>125</v>
      </c>
      <c r="AF105" s="177">
        <v>6</v>
      </c>
      <c r="AG105" s="140">
        <v>0</v>
      </c>
      <c r="AH105" s="9">
        <v>0</v>
      </c>
      <c r="AI105" s="10" t="s">
        <v>126</v>
      </c>
      <c r="AJ105" s="10"/>
      <c r="AK105" s="29"/>
      <c r="AL105" s="12">
        <v>1</v>
      </c>
      <c r="AM105" s="10"/>
      <c r="AN105" s="12">
        <f>FAR[[#This Row],[Opening RUL]]+FAR[[#This Row],[RUL Adjustment]]</f>
        <v>1</v>
      </c>
      <c r="AO105" s="12">
        <f>FAR[[#This Row],[Opening RUL 30 June 2026]]-1</f>
        <v>0</v>
      </c>
      <c r="AP105" s="12" t="s">
        <v>1050</v>
      </c>
      <c r="AQ105" s="139"/>
      <c r="AR105" s="10" t="s">
        <v>127</v>
      </c>
      <c r="AS105" s="13">
        <v>1750</v>
      </c>
      <c r="AT105" s="13"/>
      <c r="AU105" s="13">
        <v>0</v>
      </c>
      <c r="AV105" s="13">
        <v>0</v>
      </c>
      <c r="AW105" s="13">
        <v>0</v>
      </c>
      <c r="AX105" s="13">
        <v>1750</v>
      </c>
      <c r="AY105" s="13">
        <v>97.222222222222172</v>
      </c>
      <c r="AZ105" s="13">
        <v>0</v>
      </c>
      <c r="BA105" s="13"/>
      <c r="BB105" s="13"/>
      <c r="BC105" s="13">
        <v>-1652.7777777777778</v>
      </c>
      <c r="BD105" s="13"/>
      <c r="BE105" s="13" t="s">
        <v>114</v>
      </c>
      <c r="BF105" s="29"/>
      <c r="BG105" s="13"/>
      <c r="BH105" s="13">
        <f>-FAR[[#This Row],[Carrying value (opening balance)]]/FAR[[#This Row],[Opening RUL 30 June 2026]]</f>
        <v>-97.222222222222172</v>
      </c>
      <c r="BI105" s="13">
        <f>FAR[[#This Row],[Depreciation YTD]]/12</f>
        <v>-8.1018518518518476</v>
      </c>
      <c r="BJ105" s="13"/>
      <c r="BK105" s="13" t="s">
        <v>116</v>
      </c>
      <c r="BL105" s="13">
        <v>0</v>
      </c>
      <c r="BM105" s="13">
        <f>FAR[[#This Row],[Accumulated depreciation (Opening balance)]]+FAR[[#This Row],[Depreciation YTD]]+FAR[[#This Row],[Derecognitions (acc dep) '[+']]]</f>
        <v>-1750</v>
      </c>
      <c r="BN105" s="13"/>
      <c r="BO105" s="13"/>
      <c r="BP105" s="13"/>
      <c r="BQ105" s="13"/>
      <c r="BR10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05" s="13">
        <f>FAR[[#This Row],[Cost Price (closing balance)]]+FAR[[#This Row],[Accumulated depreciation (Closing balance)]]+FAR[[#This Row],[Accumulated impairments (Closing balance)]]</f>
        <v>0</v>
      </c>
      <c r="BT105" s="13"/>
      <c r="BU105" s="13"/>
      <c r="BV105" s="13"/>
      <c r="BW105" s="10" t="s">
        <v>167</v>
      </c>
      <c r="BX105" s="9" t="s">
        <v>168</v>
      </c>
      <c r="BY105" s="10"/>
      <c r="BZ105" t="s">
        <v>947</v>
      </c>
      <c r="CA105"/>
      <c r="CB105" s="34"/>
      <c r="CC105" s="34"/>
      <c r="CD105" s="34"/>
      <c r="CE105" s="141"/>
    </row>
    <row r="106" spans="1:83">
      <c r="A106" s="35" t="s">
        <v>277</v>
      </c>
      <c r="B106" s="9" t="s">
        <v>874</v>
      </c>
      <c r="C106" s="9" t="s">
        <v>54</v>
      </c>
      <c r="D106" s="10" t="s">
        <v>1</v>
      </c>
      <c r="E106" s="9" t="s">
        <v>115</v>
      </c>
      <c r="F106" s="36" t="s">
        <v>99</v>
      </c>
      <c r="G106" s="9" t="s">
        <v>100</v>
      </c>
      <c r="H106" s="3" t="s">
        <v>128</v>
      </c>
      <c r="I106" s="9" t="s">
        <v>100</v>
      </c>
      <c r="J106" s="36" t="s">
        <v>101</v>
      </c>
      <c r="K106" s="10" t="s">
        <v>559</v>
      </c>
      <c r="L106" s="10" t="s">
        <v>559</v>
      </c>
      <c r="M106" s="9" t="s">
        <v>100</v>
      </c>
      <c r="N106" s="10" t="s">
        <v>475</v>
      </c>
      <c r="O106" s="9" t="s">
        <v>100</v>
      </c>
      <c r="P106" s="10"/>
      <c r="Q106" s="10" t="s">
        <v>475</v>
      </c>
      <c r="R106" s="10" t="s">
        <v>119</v>
      </c>
      <c r="S106" s="10" t="s">
        <v>130</v>
      </c>
      <c r="T106" s="10" t="s">
        <v>120</v>
      </c>
      <c r="U106" s="10" t="s">
        <v>101</v>
      </c>
      <c r="V106" s="10" t="s">
        <v>121</v>
      </c>
      <c r="W106" s="10" t="s">
        <v>122</v>
      </c>
      <c r="X106" s="10" t="s">
        <v>123</v>
      </c>
      <c r="Y106" s="29">
        <v>1</v>
      </c>
      <c r="Z106" s="138" t="s">
        <v>572</v>
      </c>
      <c r="AA106" s="138">
        <v>39478</v>
      </c>
      <c r="AB106" s="9" t="s">
        <v>114</v>
      </c>
      <c r="AC106" s="9" t="s">
        <v>124</v>
      </c>
      <c r="AD106" s="15">
        <v>44651</v>
      </c>
      <c r="AE106" s="39" t="s">
        <v>125</v>
      </c>
      <c r="AF106" s="177">
        <v>6</v>
      </c>
      <c r="AG106" s="140">
        <v>0</v>
      </c>
      <c r="AH106" s="9">
        <v>0</v>
      </c>
      <c r="AI106" s="10" t="s">
        <v>126</v>
      </c>
      <c r="AJ106" s="10"/>
      <c r="AK106" s="29"/>
      <c r="AL106" s="12">
        <v>1</v>
      </c>
      <c r="AM106" s="10"/>
      <c r="AN106" s="12">
        <f>FAR[[#This Row],[Opening RUL]]+FAR[[#This Row],[RUL Adjustment]]</f>
        <v>1</v>
      </c>
      <c r="AO106" s="12">
        <f>FAR[[#This Row],[Opening RUL 30 June 2026]]-1</f>
        <v>0</v>
      </c>
      <c r="AP106" s="12" t="s">
        <v>1050</v>
      </c>
      <c r="AQ106" s="139"/>
      <c r="AR106" s="10" t="s">
        <v>127</v>
      </c>
      <c r="AS106" s="13">
        <v>1750</v>
      </c>
      <c r="AT106" s="13"/>
      <c r="AU106" s="13">
        <v>0</v>
      </c>
      <c r="AV106" s="13">
        <v>0</v>
      </c>
      <c r="AW106" s="13">
        <v>0</v>
      </c>
      <c r="AX106" s="13">
        <v>1750</v>
      </c>
      <c r="AY106" s="13">
        <v>97.222222222222172</v>
      </c>
      <c r="AZ106" s="13">
        <v>0</v>
      </c>
      <c r="BA106" s="13"/>
      <c r="BB106" s="13"/>
      <c r="BC106" s="13">
        <v>-1652.7777777777778</v>
      </c>
      <c r="BD106" s="13"/>
      <c r="BE106" s="13" t="s">
        <v>114</v>
      </c>
      <c r="BF106" s="29"/>
      <c r="BG106" s="13"/>
      <c r="BH106" s="13">
        <f>-FAR[[#This Row],[Carrying value (opening balance)]]/FAR[[#This Row],[Opening RUL 30 June 2026]]</f>
        <v>-97.222222222222172</v>
      </c>
      <c r="BI106" s="13">
        <f>FAR[[#This Row],[Depreciation YTD]]/12</f>
        <v>-8.1018518518518476</v>
      </c>
      <c r="BJ106" s="13"/>
      <c r="BK106" s="13" t="s">
        <v>116</v>
      </c>
      <c r="BL106" s="13">
        <v>0</v>
      </c>
      <c r="BM106" s="13">
        <f>FAR[[#This Row],[Accumulated depreciation (Opening balance)]]+FAR[[#This Row],[Depreciation YTD]]+FAR[[#This Row],[Derecognitions (acc dep) '[+']]]</f>
        <v>-1750</v>
      </c>
      <c r="BN106" s="13"/>
      <c r="BO106" s="13"/>
      <c r="BP106" s="13"/>
      <c r="BQ106" s="13"/>
      <c r="BR10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06" s="13">
        <f>FAR[[#This Row],[Cost Price (closing balance)]]+FAR[[#This Row],[Accumulated depreciation (Closing balance)]]+FAR[[#This Row],[Accumulated impairments (Closing balance)]]</f>
        <v>0</v>
      </c>
      <c r="BT106" s="13"/>
      <c r="BU106" s="13"/>
      <c r="BV106" s="13"/>
      <c r="BW106" s="10" t="s">
        <v>167</v>
      </c>
      <c r="BX106" s="9" t="s">
        <v>168</v>
      </c>
      <c r="BY106" s="10"/>
      <c r="BZ106" t="s">
        <v>959</v>
      </c>
      <c r="CA106"/>
      <c r="CB106" s="34"/>
      <c r="CC106" s="34"/>
      <c r="CD106" s="34"/>
      <c r="CE106" s="141"/>
    </row>
    <row r="107" spans="1:83">
      <c r="A107" s="35" t="s">
        <v>278</v>
      </c>
      <c r="B107" s="9" t="s">
        <v>871</v>
      </c>
      <c r="C107" s="9" t="s">
        <v>54</v>
      </c>
      <c r="D107" s="10" t="s">
        <v>1</v>
      </c>
      <c r="E107" s="9" t="s">
        <v>115</v>
      </c>
      <c r="F107" s="36" t="s">
        <v>99</v>
      </c>
      <c r="G107" s="9" t="s">
        <v>100</v>
      </c>
      <c r="H107" s="3" t="s">
        <v>128</v>
      </c>
      <c r="I107" s="9" t="s">
        <v>100</v>
      </c>
      <c r="J107" s="36" t="s">
        <v>101</v>
      </c>
      <c r="K107" s="10" t="s">
        <v>559</v>
      </c>
      <c r="L107" s="10" t="s">
        <v>559</v>
      </c>
      <c r="M107" s="9" t="s">
        <v>100</v>
      </c>
      <c r="N107" s="10" t="s">
        <v>476</v>
      </c>
      <c r="O107" s="9" t="s">
        <v>100</v>
      </c>
      <c r="P107" s="10"/>
      <c r="Q107" s="10" t="s">
        <v>476</v>
      </c>
      <c r="R107" s="10" t="s">
        <v>119</v>
      </c>
      <c r="S107" s="10" t="s">
        <v>130</v>
      </c>
      <c r="T107" s="10" t="s">
        <v>120</v>
      </c>
      <c r="U107" s="10" t="s">
        <v>101</v>
      </c>
      <c r="V107" s="10" t="s">
        <v>121</v>
      </c>
      <c r="W107" s="10" t="s">
        <v>122</v>
      </c>
      <c r="X107" s="10" t="s">
        <v>123</v>
      </c>
      <c r="Y107" s="29">
        <v>1</v>
      </c>
      <c r="Z107" s="138" t="s">
        <v>572</v>
      </c>
      <c r="AA107" s="138">
        <v>39478</v>
      </c>
      <c r="AB107" s="9" t="s">
        <v>114</v>
      </c>
      <c r="AC107" s="9" t="s">
        <v>124</v>
      </c>
      <c r="AD107" s="15">
        <v>44651</v>
      </c>
      <c r="AE107" s="39" t="s">
        <v>125</v>
      </c>
      <c r="AF107" s="177">
        <v>6</v>
      </c>
      <c r="AG107" s="140">
        <v>0</v>
      </c>
      <c r="AH107" s="9">
        <v>0</v>
      </c>
      <c r="AI107" s="10" t="s">
        <v>126</v>
      </c>
      <c r="AJ107" s="10"/>
      <c r="AK107" s="29"/>
      <c r="AL107" s="12">
        <v>1</v>
      </c>
      <c r="AM107" s="10"/>
      <c r="AN107" s="12">
        <f>FAR[[#This Row],[Opening RUL]]+FAR[[#This Row],[RUL Adjustment]]</f>
        <v>1</v>
      </c>
      <c r="AO107" s="12">
        <f>FAR[[#This Row],[Opening RUL 30 June 2026]]-1</f>
        <v>0</v>
      </c>
      <c r="AP107" s="12" t="s">
        <v>1050</v>
      </c>
      <c r="AQ107" s="139"/>
      <c r="AR107" s="10" t="s">
        <v>127</v>
      </c>
      <c r="AS107" s="13">
        <v>550</v>
      </c>
      <c r="AT107" s="13"/>
      <c r="AU107" s="13">
        <v>0</v>
      </c>
      <c r="AV107" s="13">
        <v>0</v>
      </c>
      <c r="AW107" s="13">
        <v>0</v>
      </c>
      <c r="AX107" s="13">
        <v>550</v>
      </c>
      <c r="AY107" s="13">
        <v>30.555555555555543</v>
      </c>
      <c r="AZ107" s="13">
        <v>0</v>
      </c>
      <c r="BA107" s="13"/>
      <c r="BB107" s="13"/>
      <c r="BC107" s="13">
        <v>-519.44444444444446</v>
      </c>
      <c r="BD107" s="13"/>
      <c r="BE107" s="13" t="s">
        <v>114</v>
      </c>
      <c r="BF107" s="29"/>
      <c r="BG107" s="13"/>
      <c r="BH107" s="13">
        <f>-FAR[[#This Row],[Carrying value (opening balance)]]/FAR[[#This Row],[Opening RUL 30 June 2026]]</f>
        <v>-30.555555555555543</v>
      </c>
      <c r="BI107" s="13">
        <f>FAR[[#This Row],[Depreciation YTD]]/12</f>
        <v>-2.5462962962962954</v>
      </c>
      <c r="BJ107" s="13"/>
      <c r="BK107" s="13" t="s">
        <v>116</v>
      </c>
      <c r="BL107" s="13">
        <v>0</v>
      </c>
      <c r="BM107" s="13">
        <f>FAR[[#This Row],[Accumulated depreciation (Opening balance)]]+FAR[[#This Row],[Depreciation YTD]]+FAR[[#This Row],[Derecognitions (acc dep) '[+']]]</f>
        <v>-550</v>
      </c>
      <c r="BN107" s="13"/>
      <c r="BO107" s="13"/>
      <c r="BP107" s="13"/>
      <c r="BQ107" s="13"/>
      <c r="BR10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07" s="13">
        <f>FAR[[#This Row],[Cost Price (closing balance)]]+FAR[[#This Row],[Accumulated depreciation (Closing balance)]]+FAR[[#This Row],[Accumulated impairments (Closing balance)]]</f>
        <v>0</v>
      </c>
      <c r="BT107" s="13"/>
      <c r="BU107" s="13"/>
      <c r="BV107" s="13"/>
      <c r="BW107" s="10" t="s">
        <v>167</v>
      </c>
      <c r="BX107" s="9" t="s">
        <v>168</v>
      </c>
      <c r="BY107" s="10"/>
      <c r="BZ107" t="s">
        <v>955</v>
      </c>
      <c r="CA107"/>
      <c r="CB107" s="34"/>
      <c r="CC107" s="34"/>
      <c r="CD107" s="34"/>
      <c r="CE107" s="141"/>
    </row>
    <row r="108" spans="1:83">
      <c r="A108" s="35" t="s">
        <v>279</v>
      </c>
      <c r="B108" s="9" t="s">
        <v>863</v>
      </c>
      <c r="C108" s="9" t="s">
        <v>54</v>
      </c>
      <c r="D108" s="10" t="s">
        <v>1</v>
      </c>
      <c r="E108" s="9" t="s">
        <v>115</v>
      </c>
      <c r="F108" s="36" t="s">
        <v>99</v>
      </c>
      <c r="G108" s="9" t="s">
        <v>100</v>
      </c>
      <c r="H108" s="3" t="s">
        <v>128</v>
      </c>
      <c r="I108" s="9" t="s">
        <v>100</v>
      </c>
      <c r="J108" s="36" t="s">
        <v>101</v>
      </c>
      <c r="K108" s="10" t="s">
        <v>559</v>
      </c>
      <c r="L108" s="10" t="s">
        <v>559</v>
      </c>
      <c r="M108" s="9" t="s">
        <v>100</v>
      </c>
      <c r="N108" s="10" t="s">
        <v>477</v>
      </c>
      <c r="O108" s="9" t="s">
        <v>100</v>
      </c>
      <c r="P108" s="10"/>
      <c r="Q108" s="10" t="s">
        <v>477</v>
      </c>
      <c r="R108" s="10" t="s">
        <v>119</v>
      </c>
      <c r="S108" s="10" t="s">
        <v>130</v>
      </c>
      <c r="T108" s="10" t="s">
        <v>120</v>
      </c>
      <c r="U108" s="10" t="s">
        <v>101</v>
      </c>
      <c r="V108" s="10" t="s">
        <v>121</v>
      </c>
      <c r="W108" s="10" t="s">
        <v>122</v>
      </c>
      <c r="X108" s="10" t="s">
        <v>123</v>
      </c>
      <c r="Y108" s="29">
        <v>1</v>
      </c>
      <c r="Z108" s="138" t="s">
        <v>572</v>
      </c>
      <c r="AA108" s="138">
        <v>39478</v>
      </c>
      <c r="AB108" s="9" t="s">
        <v>114</v>
      </c>
      <c r="AC108" s="9" t="s">
        <v>124</v>
      </c>
      <c r="AD108" s="15">
        <v>44651</v>
      </c>
      <c r="AE108" s="39" t="s">
        <v>125</v>
      </c>
      <c r="AF108" s="177">
        <v>6</v>
      </c>
      <c r="AG108" s="140">
        <v>0</v>
      </c>
      <c r="AH108" s="9">
        <v>0</v>
      </c>
      <c r="AI108" s="10" t="s">
        <v>126</v>
      </c>
      <c r="AJ108" s="10"/>
      <c r="AK108" s="29"/>
      <c r="AL108" s="12">
        <v>1</v>
      </c>
      <c r="AM108" s="10"/>
      <c r="AN108" s="12">
        <f>FAR[[#This Row],[Opening RUL]]+FAR[[#This Row],[RUL Adjustment]]</f>
        <v>1</v>
      </c>
      <c r="AO108" s="12">
        <f>FAR[[#This Row],[Opening RUL 30 June 2026]]-1</f>
        <v>0</v>
      </c>
      <c r="AP108" s="12" t="s">
        <v>1051</v>
      </c>
      <c r="AQ108" s="139"/>
      <c r="AR108" s="10" t="s">
        <v>127</v>
      </c>
      <c r="AS108" s="13">
        <v>4500</v>
      </c>
      <c r="AT108" s="13"/>
      <c r="AU108" s="13">
        <v>0</v>
      </c>
      <c r="AV108" s="13">
        <v>0</v>
      </c>
      <c r="AW108" s="13">
        <v>0</v>
      </c>
      <c r="AX108" s="13">
        <v>4500</v>
      </c>
      <c r="AY108" s="13">
        <v>250</v>
      </c>
      <c r="AZ108" s="13">
        <v>0</v>
      </c>
      <c r="BA108" s="13"/>
      <c r="BB108" s="13"/>
      <c r="BC108" s="13">
        <v>-4250</v>
      </c>
      <c r="BD108" s="13"/>
      <c r="BE108" s="13" t="s">
        <v>114</v>
      </c>
      <c r="BF108" s="29"/>
      <c r="BG108" s="13"/>
      <c r="BH108" s="13">
        <f>-FAR[[#This Row],[Carrying value (opening balance)]]/FAR[[#This Row],[Opening RUL 30 June 2026]]</f>
        <v>-250</v>
      </c>
      <c r="BI108" s="13">
        <f>FAR[[#This Row],[Depreciation YTD]]/12</f>
        <v>-20.833333333333332</v>
      </c>
      <c r="BJ108" s="13"/>
      <c r="BK108" s="13" t="s">
        <v>116</v>
      </c>
      <c r="BL108" s="13">
        <v>0</v>
      </c>
      <c r="BM108" s="13">
        <f>FAR[[#This Row],[Accumulated depreciation (Opening balance)]]+FAR[[#This Row],[Depreciation YTD]]+FAR[[#This Row],[Derecognitions (acc dep) '[+']]]</f>
        <v>-4500</v>
      </c>
      <c r="BN108" s="13"/>
      <c r="BO108" s="13"/>
      <c r="BP108" s="13"/>
      <c r="BQ108" s="13"/>
      <c r="BR10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08" s="13">
        <f>FAR[[#This Row],[Cost Price (closing balance)]]+FAR[[#This Row],[Accumulated depreciation (Closing balance)]]+FAR[[#This Row],[Accumulated impairments (Closing balance)]]</f>
        <v>0</v>
      </c>
      <c r="BT108" s="13"/>
      <c r="BU108" s="13"/>
      <c r="BV108" s="13"/>
      <c r="BW108" s="10" t="s">
        <v>167</v>
      </c>
      <c r="BX108" s="9" t="s">
        <v>168</v>
      </c>
      <c r="BY108" s="10"/>
      <c r="BZ108" t="s">
        <v>947</v>
      </c>
      <c r="CA108"/>
      <c r="CB108" s="34"/>
      <c r="CC108" s="34"/>
      <c r="CD108" s="34"/>
      <c r="CE108" s="141"/>
    </row>
    <row r="109" spans="1:83">
      <c r="A109" s="35" t="s">
        <v>280</v>
      </c>
      <c r="B109" s="9" t="s">
        <v>863</v>
      </c>
      <c r="C109" s="9" t="s">
        <v>54</v>
      </c>
      <c r="D109" s="10" t="s">
        <v>1</v>
      </c>
      <c r="E109" s="9" t="s">
        <v>115</v>
      </c>
      <c r="F109" s="36" t="s">
        <v>99</v>
      </c>
      <c r="G109" s="9" t="s">
        <v>100</v>
      </c>
      <c r="H109" s="3" t="s">
        <v>128</v>
      </c>
      <c r="I109" s="9" t="s">
        <v>100</v>
      </c>
      <c r="J109" s="36" t="s">
        <v>101</v>
      </c>
      <c r="K109" s="10" t="s">
        <v>559</v>
      </c>
      <c r="L109" s="10" t="s">
        <v>559</v>
      </c>
      <c r="M109" s="9" t="s">
        <v>100</v>
      </c>
      <c r="N109" s="10" t="s">
        <v>477</v>
      </c>
      <c r="O109" s="9" t="s">
        <v>100</v>
      </c>
      <c r="P109" s="10"/>
      <c r="Q109" s="10" t="s">
        <v>477</v>
      </c>
      <c r="R109" s="10" t="s">
        <v>119</v>
      </c>
      <c r="S109" s="10" t="s">
        <v>130</v>
      </c>
      <c r="T109" s="10" t="s">
        <v>120</v>
      </c>
      <c r="U109" s="10" t="s">
        <v>101</v>
      </c>
      <c r="V109" s="10" t="s">
        <v>121</v>
      </c>
      <c r="W109" s="10" t="s">
        <v>122</v>
      </c>
      <c r="X109" s="10" t="s">
        <v>123</v>
      </c>
      <c r="Y109" s="29">
        <v>1</v>
      </c>
      <c r="Z109" s="138" t="s">
        <v>573</v>
      </c>
      <c r="AA109" s="138">
        <v>39471</v>
      </c>
      <c r="AB109" s="9" t="s">
        <v>114</v>
      </c>
      <c r="AC109" s="9" t="s">
        <v>124</v>
      </c>
      <c r="AD109" s="15">
        <v>44651</v>
      </c>
      <c r="AE109" s="39" t="s">
        <v>125</v>
      </c>
      <c r="AF109" s="177">
        <v>6</v>
      </c>
      <c r="AG109" s="140">
        <v>0</v>
      </c>
      <c r="AH109" s="9">
        <v>0</v>
      </c>
      <c r="AI109" s="10" t="s">
        <v>126</v>
      </c>
      <c r="AJ109" s="10"/>
      <c r="AK109" s="29"/>
      <c r="AL109" s="12">
        <v>1</v>
      </c>
      <c r="AM109" s="10"/>
      <c r="AN109" s="12">
        <f>FAR[[#This Row],[Opening RUL]]+FAR[[#This Row],[RUL Adjustment]]</f>
        <v>1</v>
      </c>
      <c r="AO109" s="12">
        <f>FAR[[#This Row],[Opening RUL 30 June 2026]]-1</f>
        <v>0</v>
      </c>
      <c r="AP109" s="12" t="s">
        <v>1051</v>
      </c>
      <c r="AQ109" s="139"/>
      <c r="AR109" s="10" t="s">
        <v>127</v>
      </c>
      <c r="AS109" s="13">
        <v>4500</v>
      </c>
      <c r="AT109" s="13"/>
      <c r="AU109" s="13">
        <v>0</v>
      </c>
      <c r="AV109" s="13">
        <v>0</v>
      </c>
      <c r="AW109" s="13">
        <v>0</v>
      </c>
      <c r="AX109" s="13">
        <v>4500</v>
      </c>
      <c r="AY109" s="13">
        <v>250</v>
      </c>
      <c r="AZ109" s="13">
        <v>0</v>
      </c>
      <c r="BA109" s="13"/>
      <c r="BB109" s="13"/>
      <c r="BC109" s="13">
        <v>-4250</v>
      </c>
      <c r="BD109" s="13"/>
      <c r="BE109" s="13" t="s">
        <v>114</v>
      </c>
      <c r="BF109" s="29"/>
      <c r="BG109" s="13"/>
      <c r="BH109" s="13">
        <f>-FAR[[#This Row],[Carrying value (opening balance)]]/FAR[[#This Row],[Opening RUL 30 June 2026]]</f>
        <v>-250</v>
      </c>
      <c r="BI109" s="13">
        <f>FAR[[#This Row],[Depreciation YTD]]/12</f>
        <v>-20.833333333333332</v>
      </c>
      <c r="BJ109" s="13"/>
      <c r="BK109" s="13" t="s">
        <v>116</v>
      </c>
      <c r="BL109" s="13">
        <v>0</v>
      </c>
      <c r="BM109" s="13">
        <f>FAR[[#This Row],[Accumulated depreciation (Opening balance)]]+FAR[[#This Row],[Depreciation YTD]]+FAR[[#This Row],[Derecognitions (acc dep) '[+']]]</f>
        <v>-4500</v>
      </c>
      <c r="BN109" s="13"/>
      <c r="BO109" s="13"/>
      <c r="BP109" s="13"/>
      <c r="BQ109" s="13"/>
      <c r="BR10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09" s="13">
        <f>FAR[[#This Row],[Cost Price (closing balance)]]+FAR[[#This Row],[Accumulated depreciation (Closing balance)]]+FAR[[#This Row],[Accumulated impairments (Closing balance)]]</f>
        <v>0</v>
      </c>
      <c r="BT109" s="13"/>
      <c r="BU109" s="13"/>
      <c r="BV109" s="13"/>
      <c r="BW109" s="10" t="s">
        <v>167</v>
      </c>
      <c r="BX109" s="9" t="s">
        <v>168</v>
      </c>
      <c r="BY109" s="10"/>
      <c r="BZ109" t="s">
        <v>947</v>
      </c>
      <c r="CA109"/>
      <c r="CB109" s="34"/>
      <c r="CC109" s="34"/>
      <c r="CD109" s="34"/>
      <c r="CE109" s="141"/>
    </row>
    <row r="110" spans="1:83">
      <c r="A110" s="35" t="s">
        <v>281</v>
      </c>
      <c r="B110" s="9" t="s">
        <v>863</v>
      </c>
      <c r="C110" s="9" t="s">
        <v>54</v>
      </c>
      <c r="D110" s="10" t="s">
        <v>1</v>
      </c>
      <c r="E110" s="9" t="s">
        <v>115</v>
      </c>
      <c r="F110" s="36" t="s">
        <v>99</v>
      </c>
      <c r="G110" s="9" t="s">
        <v>100</v>
      </c>
      <c r="H110" s="3" t="s">
        <v>128</v>
      </c>
      <c r="I110" s="9" t="s">
        <v>100</v>
      </c>
      <c r="J110" s="36" t="s">
        <v>101</v>
      </c>
      <c r="K110" s="10" t="s">
        <v>559</v>
      </c>
      <c r="L110" s="10" t="s">
        <v>559</v>
      </c>
      <c r="M110" s="9" t="s">
        <v>100</v>
      </c>
      <c r="N110" s="10" t="s">
        <v>477</v>
      </c>
      <c r="O110" s="9" t="s">
        <v>100</v>
      </c>
      <c r="P110" s="10"/>
      <c r="Q110" s="10" t="s">
        <v>477</v>
      </c>
      <c r="R110" s="10" t="s">
        <v>119</v>
      </c>
      <c r="S110" s="10" t="s">
        <v>130</v>
      </c>
      <c r="T110" s="10" t="s">
        <v>120</v>
      </c>
      <c r="U110" s="10" t="s">
        <v>101</v>
      </c>
      <c r="V110" s="10" t="s">
        <v>121</v>
      </c>
      <c r="W110" s="10" t="s">
        <v>122</v>
      </c>
      <c r="X110" s="10" t="s">
        <v>123</v>
      </c>
      <c r="Y110" s="29">
        <v>1</v>
      </c>
      <c r="Z110" s="138" t="s">
        <v>572</v>
      </c>
      <c r="AA110" s="138">
        <v>39478</v>
      </c>
      <c r="AB110" s="9" t="s">
        <v>114</v>
      </c>
      <c r="AC110" s="9" t="s">
        <v>124</v>
      </c>
      <c r="AD110" s="15">
        <v>44651</v>
      </c>
      <c r="AE110" s="39" t="s">
        <v>125</v>
      </c>
      <c r="AF110" s="177">
        <v>6</v>
      </c>
      <c r="AG110" s="140">
        <v>0</v>
      </c>
      <c r="AH110" s="9">
        <v>0</v>
      </c>
      <c r="AI110" s="10" t="s">
        <v>126</v>
      </c>
      <c r="AJ110" s="10"/>
      <c r="AK110" s="29"/>
      <c r="AL110" s="12">
        <v>1</v>
      </c>
      <c r="AM110" s="10"/>
      <c r="AN110" s="12">
        <f>FAR[[#This Row],[Opening RUL]]+FAR[[#This Row],[RUL Adjustment]]</f>
        <v>1</v>
      </c>
      <c r="AO110" s="12">
        <f>FAR[[#This Row],[Opening RUL 30 June 2026]]-1</f>
        <v>0</v>
      </c>
      <c r="AP110" s="12" t="s">
        <v>1051</v>
      </c>
      <c r="AQ110" s="139"/>
      <c r="AR110" s="10" t="s">
        <v>127</v>
      </c>
      <c r="AS110" s="13">
        <v>4500</v>
      </c>
      <c r="AT110" s="13"/>
      <c r="AU110" s="13">
        <v>0</v>
      </c>
      <c r="AV110" s="13">
        <v>0</v>
      </c>
      <c r="AW110" s="13">
        <v>0</v>
      </c>
      <c r="AX110" s="13">
        <v>4500</v>
      </c>
      <c r="AY110" s="13">
        <v>250</v>
      </c>
      <c r="AZ110" s="13">
        <v>0</v>
      </c>
      <c r="BA110" s="13"/>
      <c r="BB110" s="13"/>
      <c r="BC110" s="13">
        <v>-4250</v>
      </c>
      <c r="BD110" s="13"/>
      <c r="BE110" s="13" t="s">
        <v>114</v>
      </c>
      <c r="BF110" s="29"/>
      <c r="BG110" s="13"/>
      <c r="BH110" s="13">
        <f>-FAR[[#This Row],[Carrying value (opening balance)]]/FAR[[#This Row],[Opening RUL 30 June 2026]]</f>
        <v>-250</v>
      </c>
      <c r="BI110" s="13">
        <f>FAR[[#This Row],[Depreciation YTD]]/12</f>
        <v>-20.833333333333332</v>
      </c>
      <c r="BJ110" s="13"/>
      <c r="BK110" s="13" t="s">
        <v>116</v>
      </c>
      <c r="BL110" s="13">
        <v>0</v>
      </c>
      <c r="BM110" s="13">
        <f>FAR[[#This Row],[Accumulated depreciation (Opening balance)]]+FAR[[#This Row],[Depreciation YTD]]+FAR[[#This Row],[Derecognitions (acc dep) '[+']]]</f>
        <v>-4500</v>
      </c>
      <c r="BN110" s="13"/>
      <c r="BO110" s="13"/>
      <c r="BP110" s="13"/>
      <c r="BQ110" s="13"/>
      <c r="BR11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10" s="13">
        <f>FAR[[#This Row],[Cost Price (closing balance)]]+FAR[[#This Row],[Accumulated depreciation (Closing balance)]]+FAR[[#This Row],[Accumulated impairments (Closing balance)]]</f>
        <v>0</v>
      </c>
      <c r="BT110" s="13"/>
      <c r="BU110" s="13"/>
      <c r="BV110" s="13"/>
      <c r="BW110" s="10" t="s">
        <v>167</v>
      </c>
      <c r="BX110" s="9" t="s">
        <v>168</v>
      </c>
      <c r="BY110" s="10"/>
      <c r="BZ110" t="s">
        <v>947</v>
      </c>
      <c r="CA110"/>
      <c r="CB110" s="34"/>
      <c r="CC110" s="34"/>
      <c r="CD110" s="34"/>
      <c r="CE110" s="141"/>
    </row>
    <row r="111" spans="1:83">
      <c r="A111" s="35" t="s">
        <v>282</v>
      </c>
      <c r="B111" s="9">
        <v>0</v>
      </c>
      <c r="C111" s="9" t="s">
        <v>54</v>
      </c>
      <c r="D111" s="10" t="s">
        <v>1</v>
      </c>
      <c r="E111" s="9" t="s">
        <v>115</v>
      </c>
      <c r="F111" s="36" t="s">
        <v>99</v>
      </c>
      <c r="G111" s="9" t="s">
        <v>100</v>
      </c>
      <c r="H111" s="3" t="s">
        <v>128</v>
      </c>
      <c r="I111" s="9" t="s">
        <v>100</v>
      </c>
      <c r="J111" s="36" t="s">
        <v>101</v>
      </c>
      <c r="K111" s="10" t="s">
        <v>559</v>
      </c>
      <c r="L111" s="10" t="s">
        <v>559</v>
      </c>
      <c r="M111" s="9" t="s">
        <v>100</v>
      </c>
      <c r="N111" s="10" t="s">
        <v>478</v>
      </c>
      <c r="O111" s="9" t="s">
        <v>100</v>
      </c>
      <c r="P111" s="10"/>
      <c r="Q111" s="10" t="s">
        <v>478</v>
      </c>
      <c r="R111" s="10" t="s">
        <v>119</v>
      </c>
      <c r="S111" s="10" t="s">
        <v>130</v>
      </c>
      <c r="T111" s="10" t="s">
        <v>120</v>
      </c>
      <c r="U111" s="10" t="s">
        <v>101</v>
      </c>
      <c r="V111" s="10" t="s">
        <v>121</v>
      </c>
      <c r="W111" s="10" t="s">
        <v>122</v>
      </c>
      <c r="X111" s="10" t="s">
        <v>123</v>
      </c>
      <c r="Y111" s="29">
        <v>1</v>
      </c>
      <c r="Z111" s="138" t="s">
        <v>572</v>
      </c>
      <c r="AA111" s="138">
        <v>39478</v>
      </c>
      <c r="AB111" s="9" t="s">
        <v>114</v>
      </c>
      <c r="AC111" s="9" t="s">
        <v>124</v>
      </c>
      <c r="AD111" s="15">
        <v>44651</v>
      </c>
      <c r="AE111" s="39" t="s">
        <v>125</v>
      </c>
      <c r="AF111" s="177">
        <v>6</v>
      </c>
      <c r="AG111" s="140">
        <v>0</v>
      </c>
      <c r="AH111" s="9">
        <v>0</v>
      </c>
      <c r="AI111" s="10" t="s">
        <v>126</v>
      </c>
      <c r="AJ111" s="10"/>
      <c r="AK111" s="29"/>
      <c r="AL111" s="12">
        <v>1</v>
      </c>
      <c r="AM111" s="10"/>
      <c r="AN111" s="12">
        <f>FAR[[#This Row],[Opening RUL]]+FAR[[#This Row],[RUL Adjustment]]</f>
        <v>1</v>
      </c>
      <c r="AO111" s="12">
        <f>FAR[[#This Row],[Opening RUL 30 June 2026]]-1</f>
        <v>0</v>
      </c>
      <c r="AP111" s="12">
        <v>0</v>
      </c>
      <c r="AQ111" s="139"/>
      <c r="AR111" s="10" t="s">
        <v>127</v>
      </c>
      <c r="AS111" s="13">
        <v>4500</v>
      </c>
      <c r="AT111" s="13"/>
      <c r="AU111" s="13">
        <v>0</v>
      </c>
      <c r="AV111" s="13">
        <v>0</v>
      </c>
      <c r="AW111" s="13">
        <v>0</v>
      </c>
      <c r="AX111" s="13">
        <v>4500</v>
      </c>
      <c r="AY111" s="13">
        <v>250</v>
      </c>
      <c r="AZ111" s="13">
        <v>0</v>
      </c>
      <c r="BA111" s="13"/>
      <c r="BB111" s="13"/>
      <c r="BC111" s="13">
        <v>-4250</v>
      </c>
      <c r="BD111" s="13"/>
      <c r="BE111" s="13" t="s">
        <v>114</v>
      </c>
      <c r="BF111" s="29"/>
      <c r="BG111" s="13"/>
      <c r="BH111" s="13">
        <f>-FAR[[#This Row],[Carrying value (opening balance)]]/FAR[[#This Row],[Opening RUL 30 June 2026]]</f>
        <v>-250</v>
      </c>
      <c r="BI111" s="13">
        <f>FAR[[#This Row],[Depreciation YTD]]/12</f>
        <v>-20.833333333333332</v>
      </c>
      <c r="BJ111" s="13"/>
      <c r="BK111" s="13" t="s">
        <v>116</v>
      </c>
      <c r="BL111" s="13">
        <v>0</v>
      </c>
      <c r="BM111" s="13">
        <f>FAR[[#This Row],[Accumulated depreciation (Opening balance)]]+FAR[[#This Row],[Depreciation YTD]]+FAR[[#This Row],[Derecognitions (acc dep) '[+']]]</f>
        <v>-4500</v>
      </c>
      <c r="BN111" s="13"/>
      <c r="BO111" s="13"/>
      <c r="BP111" s="13"/>
      <c r="BQ111" s="13"/>
      <c r="BR11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11" s="13">
        <f>FAR[[#This Row],[Cost Price (closing balance)]]+FAR[[#This Row],[Accumulated depreciation (Closing balance)]]+FAR[[#This Row],[Accumulated impairments (Closing balance)]]</f>
        <v>0</v>
      </c>
      <c r="BT111" s="13"/>
      <c r="BU111" s="13"/>
      <c r="BV111" s="13"/>
      <c r="BW111" s="10" t="s">
        <v>167</v>
      </c>
      <c r="BX111" s="9" t="s">
        <v>168</v>
      </c>
      <c r="BY111" s="10"/>
      <c r="BZ111">
        <v>0</v>
      </c>
      <c r="CA111"/>
      <c r="CB111" s="34"/>
      <c r="CC111" s="34"/>
      <c r="CD111" s="34"/>
      <c r="CE111" s="141"/>
    </row>
    <row r="112" spans="1:83">
      <c r="A112" s="35" t="s">
        <v>283</v>
      </c>
      <c r="B112" s="9">
        <v>0</v>
      </c>
      <c r="C112" s="9" t="s">
        <v>54</v>
      </c>
      <c r="D112" s="10" t="s">
        <v>1</v>
      </c>
      <c r="E112" s="9" t="s">
        <v>115</v>
      </c>
      <c r="F112" s="36" t="s">
        <v>99</v>
      </c>
      <c r="G112" s="9" t="s">
        <v>100</v>
      </c>
      <c r="H112" s="3" t="s">
        <v>128</v>
      </c>
      <c r="I112" s="9" t="s">
        <v>100</v>
      </c>
      <c r="J112" s="36" t="s">
        <v>101</v>
      </c>
      <c r="K112" s="10" t="s">
        <v>559</v>
      </c>
      <c r="L112" s="10" t="s">
        <v>559</v>
      </c>
      <c r="M112" s="9" t="s">
        <v>100</v>
      </c>
      <c r="N112" s="10" t="s">
        <v>479</v>
      </c>
      <c r="O112" s="9" t="s">
        <v>100</v>
      </c>
      <c r="P112" s="10"/>
      <c r="Q112" s="10" t="s">
        <v>479</v>
      </c>
      <c r="R112" s="10" t="s">
        <v>119</v>
      </c>
      <c r="S112" s="10" t="s">
        <v>130</v>
      </c>
      <c r="T112" s="10" t="s">
        <v>120</v>
      </c>
      <c r="U112" s="10" t="s">
        <v>101</v>
      </c>
      <c r="V112" s="10" t="s">
        <v>121</v>
      </c>
      <c r="W112" s="10" t="s">
        <v>122</v>
      </c>
      <c r="X112" s="10" t="s">
        <v>123</v>
      </c>
      <c r="Y112" s="29">
        <v>1</v>
      </c>
      <c r="Z112" s="138" t="s">
        <v>574</v>
      </c>
      <c r="AA112" s="138">
        <v>39503</v>
      </c>
      <c r="AB112" s="9" t="s">
        <v>114</v>
      </c>
      <c r="AC112" s="9" t="s">
        <v>124</v>
      </c>
      <c r="AD112" s="15">
        <v>44651</v>
      </c>
      <c r="AE112" s="39" t="s">
        <v>125</v>
      </c>
      <c r="AF112" s="177">
        <v>6</v>
      </c>
      <c r="AG112" s="140">
        <v>0</v>
      </c>
      <c r="AH112" s="9">
        <v>0</v>
      </c>
      <c r="AI112" s="10" t="s">
        <v>126</v>
      </c>
      <c r="AJ112" s="10"/>
      <c r="AK112" s="29"/>
      <c r="AL112" s="12">
        <v>1</v>
      </c>
      <c r="AM112" s="10"/>
      <c r="AN112" s="12">
        <f>FAR[[#This Row],[Opening RUL]]+FAR[[#This Row],[RUL Adjustment]]</f>
        <v>1</v>
      </c>
      <c r="AO112" s="12">
        <f>FAR[[#This Row],[Opening RUL 30 June 2026]]-1</f>
        <v>0</v>
      </c>
      <c r="AP112" s="12">
        <v>0</v>
      </c>
      <c r="AQ112" s="139"/>
      <c r="AR112" s="10" t="s">
        <v>127</v>
      </c>
      <c r="AS112" s="13">
        <v>450</v>
      </c>
      <c r="AT112" s="13"/>
      <c r="AU112" s="13">
        <v>0</v>
      </c>
      <c r="AV112" s="13">
        <v>0</v>
      </c>
      <c r="AW112" s="13">
        <v>0</v>
      </c>
      <c r="AX112" s="13">
        <v>450</v>
      </c>
      <c r="AY112" s="13">
        <v>25</v>
      </c>
      <c r="AZ112" s="13">
        <v>0</v>
      </c>
      <c r="BA112" s="13"/>
      <c r="BB112" s="13"/>
      <c r="BC112" s="13">
        <v>-425</v>
      </c>
      <c r="BD112" s="13"/>
      <c r="BE112" s="13" t="s">
        <v>114</v>
      </c>
      <c r="BF112" s="29"/>
      <c r="BG112" s="13"/>
      <c r="BH112" s="13">
        <f>-FAR[[#This Row],[Carrying value (opening balance)]]/FAR[[#This Row],[Opening RUL 30 June 2026]]</f>
        <v>-25</v>
      </c>
      <c r="BI112" s="13">
        <f>FAR[[#This Row],[Depreciation YTD]]/12</f>
        <v>-2.0833333333333335</v>
      </c>
      <c r="BJ112" s="13"/>
      <c r="BK112" s="13" t="s">
        <v>116</v>
      </c>
      <c r="BL112" s="13">
        <v>0</v>
      </c>
      <c r="BM112" s="13">
        <f>FAR[[#This Row],[Accumulated depreciation (Opening balance)]]+FAR[[#This Row],[Depreciation YTD]]+FAR[[#This Row],[Derecognitions (acc dep) '[+']]]</f>
        <v>-450</v>
      </c>
      <c r="BN112" s="13"/>
      <c r="BO112" s="13"/>
      <c r="BP112" s="13"/>
      <c r="BQ112" s="13"/>
      <c r="BR11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12" s="13">
        <f>FAR[[#This Row],[Cost Price (closing balance)]]+FAR[[#This Row],[Accumulated depreciation (Closing balance)]]+FAR[[#This Row],[Accumulated impairments (Closing balance)]]</f>
        <v>0</v>
      </c>
      <c r="BT112" s="13"/>
      <c r="BU112" s="13"/>
      <c r="BV112" s="13"/>
      <c r="BW112" s="10" t="s">
        <v>167</v>
      </c>
      <c r="BX112" s="9" t="s">
        <v>168</v>
      </c>
      <c r="BY112" s="10"/>
      <c r="BZ112">
        <v>0</v>
      </c>
      <c r="CA112"/>
      <c r="CB112" s="34"/>
      <c r="CC112" s="34"/>
      <c r="CD112" s="34"/>
      <c r="CE112" s="141"/>
    </row>
    <row r="113" spans="1:83">
      <c r="A113" s="35" t="s">
        <v>284</v>
      </c>
      <c r="B113" s="9" t="s">
        <v>866</v>
      </c>
      <c r="C113" s="9" t="s">
        <v>54</v>
      </c>
      <c r="D113" s="10" t="s">
        <v>1</v>
      </c>
      <c r="E113" s="9" t="s">
        <v>115</v>
      </c>
      <c r="F113" s="36" t="s">
        <v>99</v>
      </c>
      <c r="G113" s="9" t="s">
        <v>100</v>
      </c>
      <c r="H113" s="3" t="s">
        <v>128</v>
      </c>
      <c r="I113" s="9" t="s">
        <v>100</v>
      </c>
      <c r="J113" s="36" t="s">
        <v>101</v>
      </c>
      <c r="K113" s="10" t="s">
        <v>559</v>
      </c>
      <c r="L113" s="10" t="s">
        <v>559</v>
      </c>
      <c r="M113" s="9" t="s">
        <v>100</v>
      </c>
      <c r="N113" s="10" t="s">
        <v>479</v>
      </c>
      <c r="O113" s="9" t="s">
        <v>100</v>
      </c>
      <c r="P113" s="10"/>
      <c r="Q113" s="10" t="s">
        <v>479</v>
      </c>
      <c r="R113" s="10" t="s">
        <v>119</v>
      </c>
      <c r="S113" s="10" t="s">
        <v>130</v>
      </c>
      <c r="T113" s="10" t="s">
        <v>120</v>
      </c>
      <c r="U113" s="10" t="s">
        <v>101</v>
      </c>
      <c r="V113" s="10" t="s">
        <v>121</v>
      </c>
      <c r="W113" s="10" t="s">
        <v>122</v>
      </c>
      <c r="X113" s="10" t="s">
        <v>123</v>
      </c>
      <c r="Y113" s="29">
        <v>1</v>
      </c>
      <c r="Z113" s="138" t="s">
        <v>574</v>
      </c>
      <c r="AA113" s="138">
        <v>39503</v>
      </c>
      <c r="AB113" s="9" t="s">
        <v>114</v>
      </c>
      <c r="AC113" s="9" t="s">
        <v>124</v>
      </c>
      <c r="AD113" s="15">
        <v>44651</v>
      </c>
      <c r="AE113" s="39" t="s">
        <v>125</v>
      </c>
      <c r="AF113" s="177">
        <v>6</v>
      </c>
      <c r="AG113" s="140">
        <v>0</v>
      </c>
      <c r="AH113" s="9">
        <v>0</v>
      </c>
      <c r="AI113" s="10" t="s">
        <v>126</v>
      </c>
      <c r="AJ113" s="10"/>
      <c r="AK113" s="29"/>
      <c r="AL113" s="12">
        <v>1</v>
      </c>
      <c r="AM113" s="10"/>
      <c r="AN113" s="12">
        <f>FAR[[#This Row],[Opening RUL]]+FAR[[#This Row],[RUL Adjustment]]</f>
        <v>1</v>
      </c>
      <c r="AO113" s="12">
        <f>FAR[[#This Row],[Opening RUL 30 June 2026]]-1</f>
        <v>0</v>
      </c>
      <c r="AP113" s="12" t="s">
        <v>1051</v>
      </c>
      <c r="AQ113" s="139"/>
      <c r="AR113" s="10" t="s">
        <v>127</v>
      </c>
      <c r="AS113" s="13">
        <v>450</v>
      </c>
      <c r="AT113" s="13"/>
      <c r="AU113" s="13">
        <v>0</v>
      </c>
      <c r="AV113" s="13">
        <v>0</v>
      </c>
      <c r="AW113" s="13">
        <v>0</v>
      </c>
      <c r="AX113" s="13">
        <v>450</v>
      </c>
      <c r="AY113" s="13">
        <v>25</v>
      </c>
      <c r="AZ113" s="13">
        <v>0</v>
      </c>
      <c r="BA113" s="13"/>
      <c r="BB113" s="13"/>
      <c r="BC113" s="13">
        <v>-425</v>
      </c>
      <c r="BD113" s="13"/>
      <c r="BE113" s="13" t="s">
        <v>114</v>
      </c>
      <c r="BF113" s="29"/>
      <c r="BG113" s="13"/>
      <c r="BH113" s="13">
        <f>-FAR[[#This Row],[Carrying value (opening balance)]]/FAR[[#This Row],[Opening RUL 30 June 2026]]</f>
        <v>-25</v>
      </c>
      <c r="BI113" s="13">
        <f>FAR[[#This Row],[Depreciation YTD]]/12</f>
        <v>-2.0833333333333335</v>
      </c>
      <c r="BJ113" s="13"/>
      <c r="BK113" s="13" t="s">
        <v>116</v>
      </c>
      <c r="BL113" s="13">
        <v>0</v>
      </c>
      <c r="BM113" s="13">
        <f>FAR[[#This Row],[Accumulated depreciation (Opening balance)]]+FAR[[#This Row],[Depreciation YTD]]+FAR[[#This Row],[Derecognitions (acc dep) '[+']]]</f>
        <v>-450</v>
      </c>
      <c r="BN113" s="13"/>
      <c r="BO113" s="13"/>
      <c r="BP113" s="13"/>
      <c r="BQ113" s="13"/>
      <c r="BR11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13" s="13">
        <f>FAR[[#This Row],[Cost Price (closing balance)]]+FAR[[#This Row],[Accumulated depreciation (Closing balance)]]+FAR[[#This Row],[Accumulated impairments (Closing balance)]]</f>
        <v>0</v>
      </c>
      <c r="BT113" s="13"/>
      <c r="BU113" s="13"/>
      <c r="BV113" s="13"/>
      <c r="BW113" s="10" t="s">
        <v>167</v>
      </c>
      <c r="BX113" s="9" t="s">
        <v>168</v>
      </c>
      <c r="BY113" s="10"/>
      <c r="BZ113" t="s">
        <v>983</v>
      </c>
      <c r="CA113"/>
      <c r="CB113" s="34"/>
      <c r="CC113" s="34"/>
      <c r="CD113" s="34"/>
      <c r="CE113" s="141"/>
    </row>
    <row r="114" spans="1:83">
      <c r="A114" s="35" t="s">
        <v>285</v>
      </c>
      <c r="B114" s="9" t="s">
        <v>876</v>
      </c>
      <c r="C114" s="9" t="s">
        <v>54</v>
      </c>
      <c r="D114" s="10" t="s">
        <v>1</v>
      </c>
      <c r="E114" s="9" t="s">
        <v>115</v>
      </c>
      <c r="F114" s="36" t="s">
        <v>99</v>
      </c>
      <c r="G114" s="9" t="s">
        <v>100</v>
      </c>
      <c r="H114" s="3" t="s">
        <v>128</v>
      </c>
      <c r="I114" s="9" t="s">
        <v>100</v>
      </c>
      <c r="J114" s="36" t="s">
        <v>101</v>
      </c>
      <c r="K114" s="10" t="s">
        <v>559</v>
      </c>
      <c r="L114" s="10" t="s">
        <v>559</v>
      </c>
      <c r="M114" s="9" t="s">
        <v>100</v>
      </c>
      <c r="N114" s="10" t="s">
        <v>480</v>
      </c>
      <c r="O114" s="9" t="s">
        <v>100</v>
      </c>
      <c r="P114" s="10"/>
      <c r="Q114" s="10" t="s">
        <v>480</v>
      </c>
      <c r="R114" s="10" t="s">
        <v>119</v>
      </c>
      <c r="S114" s="10" t="s">
        <v>130</v>
      </c>
      <c r="T114" s="10" t="s">
        <v>120</v>
      </c>
      <c r="U114" s="10" t="s">
        <v>101</v>
      </c>
      <c r="V114" s="10" t="s">
        <v>121</v>
      </c>
      <c r="W114" s="10" t="s">
        <v>122</v>
      </c>
      <c r="X114" s="10" t="s">
        <v>123</v>
      </c>
      <c r="Y114" s="29">
        <v>1</v>
      </c>
      <c r="Z114" s="138" t="s">
        <v>574</v>
      </c>
      <c r="AA114" s="138">
        <v>39503</v>
      </c>
      <c r="AB114" s="9" t="s">
        <v>114</v>
      </c>
      <c r="AC114" s="9" t="s">
        <v>124</v>
      </c>
      <c r="AD114" s="15">
        <v>44651</v>
      </c>
      <c r="AE114" s="39" t="s">
        <v>125</v>
      </c>
      <c r="AF114" s="177">
        <v>6</v>
      </c>
      <c r="AG114" s="140">
        <v>0</v>
      </c>
      <c r="AH114" s="9">
        <v>0</v>
      </c>
      <c r="AI114" s="10" t="s">
        <v>126</v>
      </c>
      <c r="AJ114" s="10"/>
      <c r="AK114" s="29"/>
      <c r="AL114" s="12">
        <v>1</v>
      </c>
      <c r="AM114" s="10"/>
      <c r="AN114" s="12">
        <f>FAR[[#This Row],[Opening RUL]]+FAR[[#This Row],[RUL Adjustment]]</f>
        <v>1</v>
      </c>
      <c r="AO114" s="12">
        <f>FAR[[#This Row],[Opening RUL 30 June 2026]]-1</f>
        <v>0</v>
      </c>
      <c r="AP114" s="12" t="s">
        <v>1050</v>
      </c>
      <c r="AQ114" s="139"/>
      <c r="AR114" s="10" t="s">
        <v>127</v>
      </c>
      <c r="AS114" s="13">
        <v>850</v>
      </c>
      <c r="AT114" s="13"/>
      <c r="AU114" s="13">
        <v>0</v>
      </c>
      <c r="AV114" s="13">
        <v>0</v>
      </c>
      <c r="AW114" s="13">
        <v>0</v>
      </c>
      <c r="AX114" s="13">
        <v>850</v>
      </c>
      <c r="AY114" s="13">
        <v>47.222222222222172</v>
      </c>
      <c r="AZ114" s="13">
        <v>0</v>
      </c>
      <c r="BA114" s="13"/>
      <c r="BB114" s="13"/>
      <c r="BC114" s="13">
        <v>-802.77777777777783</v>
      </c>
      <c r="BD114" s="13"/>
      <c r="BE114" s="13" t="s">
        <v>114</v>
      </c>
      <c r="BF114" s="29"/>
      <c r="BG114" s="13"/>
      <c r="BH114" s="13">
        <f>-FAR[[#This Row],[Carrying value (opening balance)]]/FAR[[#This Row],[Opening RUL 30 June 2026]]</f>
        <v>-47.222222222222172</v>
      </c>
      <c r="BI114" s="13">
        <f>FAR[[#This Row],[Depreciation YTD]]/12</f>
        <v>-3.9351851851851811</v>
      </c>
      <c r="BJ114" s="13"/>
      <c r="BK114" s="13" t="s">
        <v>116</v>
      </c>
      <c r="BL114" s="13">
        <v>0</v>
      </c>
      <c r="BM114" s="13">
        <f>FAR[[#This Row],[Accumulated depreciation (Opening balance)]]+FAR[[#This Row],[Depreciation YTD]]+FAR[[#This Row],[Derecognitions (acc dep) '[+']]]</f>
        <v>-850</v>
      </c>
      <c r="BN114" s="13"/>
      <c r="BO114" s="13"/>
      <c r="BP114" s="13"/>
      <c r="BQ114" s="13"/>
      <c r="BR11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14" s="13">
        <f>FAR[[#This Row],[Cost Price (closing balance)]]+FAR[[#This Row],[Accumulated depreciation (Closing balance)]]+FAR[[#This Row],[Accumulated impairments (Closing balance)]]</f>
        <v>0</v>
      </c>
      <c r="BT114" s="13"/>
      <c r="BU114" s="13"/>
      <c r="BV114" s="13"/>
      <c r="BW114" s="10" t="s">
        <v>167</v>
      </c>
      <c r="BX114" s="9" t="s">
        <v>168</v>
      </c>
      <c r="BY114" s="10"/>
      <c r="BZ114" t="s">
        <v>942</v>
      </c>
      <c r="CA114"/>
      <c r="CB114" s="34"/>
      <c r="CC114" s="34"/>
      <c r="CD114" s="34"/>
      <c r="CE114" s="141"/>
    </row>
    <row r="115" spans="1:83">
      <c r="A115" s="35" t="s">
        <v>286</v>
      </c>
      <c r="B115" s="9" t="s">
        <v>897</v>
      </c>
      <c r="C115" s="9" t="s">
        <v>54</v>
      </c>
      <c r="D115" s="10" t="s">
        <v>1</v>
      </c>
      <c r="E115" s="9" t="s">
        <v>115</v>
      </c>
      <c r="F115" s="36" t="s">
        <v>99</v>
      </c>
      <c r="G115" s="9" t="s">
        <v>100</v>
      </c>
      <c r="H115" s="3" t="s">
        <v>128</v>
      </c>
      <c r="I115" s="9" t="s">
        <v>100</v>
      </c>
      <c r="J115" s="36" t="s">
        <v>101</v>
      </c>
      <c r="K115" s="10" t="s">
        <v>559</v>
      </c>
      <c r="L115" s="10" t="s">
        <v>559</v>
      </c>
      <c r="M115" s="9" t="s">
        <v>100</v>
      </c>
      <c r="N115" s="10" t="s">
        <v>469</v>
      </c>
      <c r="O115" s="9" t="s">
        <v>100</v>
      </c>
      <c r="P115" s="10"/>
      <c r="Q115" s="10" t="s">
        <v>469</v>
      </c>
      <c r="R115" s="10" t="s">
        <v>119</v>
      </c>
      <c r="S115" s="10" t="s">
        <v>130</v>
      </c>
      <c r="T115" s="10" t="s">
        <v>120</v>
      </c>
      <c r="U115" s="10" t="s">
        <v>101</v>
      </c>
      <c r="V115" s="10" t="s">
        <v>121</v>
      </c>
      <c r="W115" s="10" t="s">
        <v>122</v>
      </c>
      <c r="X115" s="10" t="s">
        <v>123</v>
      </c>
      <c r="Y115" s="29">
        <v>1</v>
      </c>
      <c r="Z115" s="138" t="s">
        <v>575</v>
      </c>
      <c r="AA115" s="138">
        <v>39259</v>
      </c>
      <c r="AB115" s="9" t="s">
        <v>114</v>
      </c>
      <c r="AC115" s="9" t="s">
        <v>124</v>
      </c>
      <c r="AD115" s="15">
        <v>44651</v>
      </c>
      <c r="AE115" s="39" t="s">
        <v>125</v>
      </c>
      <c r="AF115" s="177">
        <v>6</v>
      </c>
      <c r="AG115" s="140">
        <v>0</v>
      </c>
      <c r="AH115" s="9">
        <v>0</v>
      </c>
      <c r="AI115" s="10" t="s">
        <v>126</v>
      </c>
      <c r="AJ115" s="10"/>
      <c r="AK115" s="29"/>
      <c r="AL115" s="12">
        <v>1</v>
      </c>
      <c r="AM115" s="10"/>
      <c r="AN115" s="12">
        <f>FAR[[#This Row],[Opening RUL]]+FAR[[#This Row],[RUL Adjustment]]</f>
        <v>1</v>
      </c>
      <c r="AO115" s="12">
        <f>FAR[[#This Row],[Opening RUL 30 June 2026]]-1</f>
        <v>0</v>
      </c>
      <c r="AP115" s="12" t="s">
        <v>1051</v>
      </c>
      <c r="AQ115" s="139"/>
      <c r="AR115" s="10" t="s">
        <v>127</v>
      </c>
      <c r="AS115" s="13">
        <v>3967.64</v>
      </c>
      <c r="AT115" s="13"/>
      <c r="AU115" s="13">
        <v>0</v>
      </c>
      <c r="AV115" s="13">
        <v>0</v>
      </c>
      <c r="AW115" s="13">
        <v>0</v>
      </c>
      <c r="AX115" s="13">
        <v>3967.64</v>
      </c>
      <c r="AY115" s="13">
        <v>220.42444444444436</v>
      </c>
      <c r="AZ115" s="13">
        <v>0</v>
      </c>
      <c r="BA115" s="13"/>
      <c r="BB115" s="13"/>
      <c r="BC115" s="13">
        <v>-3747.2155555555555</v>
      </c>
      <c r="BD115" s="13"/>
      <c r="BE115" s="13" t="s">
        <v>114</v>
      </c>
      <c r="BF115" s="29"/>
      <c r="BG115" s="13"/>
      <c r="BH115" s="13">
        <f>-FAR[[#This Row],[Carrying value (opening balance)]]/FAR[[#This Row],[Opening RUL 30 June 2026]]</f>
        <v>-220.42444444444436</v>
      </c>
      <c r="BI115" s="13">
        <f>FAR[[#This Row],[Depreciation YTD]]/12</f>
        <v>-18.368703703703698</v>
      </c>
      <c r="BJ115" s="13"/>
      <c r="BK115" s="13" t="s">
        <v>116</v>
      </c>
      <c r="BL115" s="13">
        <v>0</v>
      </c>
      <c r="BM115" s="13">
        <f>FAR[[#This Row],[Accumulated depreciation (Opening balance)]]+FAR[[#This Row],[Depreciation YTD]]+FAR[[#This Row],[Derecognitions (acc dep) '[+']]]</f>
        <v>-3967.64</v>
      </c>
      <c r="BN115" s="13"/>
      <c r="BO115" s="13"/>
      <c r="BP115" s="13"/>
      <c r="BQ115" s="13"/>
      <c r="BR11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15" s="13">
        <f>FAR[[#This Row],[Cost Price (closing balance)]]+FAR[[#This Row],[Accumulated depreciation (Closing balance)]]+FAR[[#This Row],[Accumulated impairments (Closing balance)]]</f>
        <v>0</v>
      </c>
      <c r="BT115" s="13"/>
      <c r="BU115" s="13"/>
      <c r="BV115" s="13"/>
      <c r="BW115" s="10" t="s">
        <v>167</v>
      </c>
      <c r="BX115" s="9" t="s">
        <v>168</v>
      </c>
      <c r="BY115" s="10"/>
      <c r="BZ115" t="s">
        <v>982</v>
      </c>
      <c r="CA115"/>
      <c r="CB115" s="34"/>
      <c r="CC115" s="34"/>
      <c r="CD115" s="34"/>
      <c r="CE115" s="141"/>
    </row>
    <row r="116" spans="1:83">
      <c r="A116" s="35" t="s">
        <v>287</v>
      </c>
      <c r="B116" s="9" t="s">
        <v>859</v>
      </c>
      <c r="C116" s="9" t="s">
        <v>54</v>
      </c>
      <c r="D116" s="10" t="s">
        <v>1</v>
      </c>
      <c r="E116" s="9" t="s">
        <v>115</v>
      </c>
      <c r="F116" s="36" t="s">
        <v>99</v>
      </c>
      <c r="G116" s="9" t="s">
        <v>100</v>
      </c>
      <c r="H116" s="3" t="s">
        <v>128</v>
      </c>
      <c r="I116" s="9" t="s">
        <v>100</v>
      </c>
      <c r="J116" s="36" t="s">
        <v>101</v>
      </c>
      <c r="K116" s="10" t="s">
        <v>559</v>
      </c>
      <c r="L116" s="10" t="s">
        <v>559</v>
      </c>
      <c r="M116" s="9" t="s">
        <v>100</v>
      </c>
      <c r="N116" s="10" t="s">
        <v>469</v>
      </c>
      <c r="O116" s="9" t="s">
        <v>100</v>
      </c>
      <c r="P116" s="10"/>
      <c r="Q116" s="10" t="s">
        <v>469</v>
      </c>
      <c r="R116" s="10" t="s">
        <v>119</v>
      </c>
      <c r="S116" s="10" t="s">
        <v>130</v>
      </c>
      <c r="T116" s="10" t="s">
        <v>120</v>
      </c>
      <c r="U116" s="10" t="s">
        <v>101</v>
      </c>
      <c r="V116" s="10" t="s">
        <v>121</v>
      </c>
      <c r="W116" s="10" t="s">
        <v>122</v>
      </c>
      <c r="X116" s="10" t="s">
        <v>123</v>
      </c>
      <c r="Y116" s="29">
        <v>1</v>
      </c>
      <c r="Z116" s="138" t="s">
        <v>575</v>
      </c>
      <c r="AA116" s="138">
        <v>39259</v>
      </c>
      <c r="AB116" s="9" t="s">
        <v>114</v>
      </c>
      <c r="AC116" s="9" t="s">
        <v>124</v>
      </c>
      <c r="AD116" s="15">
        <v>44651</v>
      </c>
      <c r="AE116" s="39" t="s">
        <v>125</v>
      </c>
      <c r="AF116" s="177">
        <v>6</v>
      </c>
      <c r="AG116" s="140">
        <v>0</v>
      </c>
      <c r="AH116" s="9">
        <v>0</v>
      </c>
      <c r="AI116" s="10" t="s">
        <v>126</v>
      </c>
      <c r="AJ116" s="10"/>
      <c r="AK116" s="29"/>
      <c r="AL116" s="12">
        <v>1</v>
      </c>
      <c r="AM116" s="10"/>
      <c r="AN116" s="12">
        <f>FAR[[#This Row],[Opening RUL]]+FAR[[#This Row],[RUL Adjustment]]</f>
        <v>1</v>
      </c>
      <c r="AO116" s="12">
        <f>FAR[[#This Row],[Opening RUL 30 June 2026]]-1</f>
        <v>0</v>
      </c>
      <c r="AP116" s="12" t="s">
        <v>1050</v>
      </c>
      <c r="AQ116" s="139"/>
      <c r="AR116" s="10" t="s">
        <v>127</v>
      </c>
      <c r="AS116" s="13">
        <v>3967.64</v>
      </c>
      <c r="AT116" s="13"/>
      <c r="AU116" s="13">
        <v>0</v>
      </c>
      <c r="AV116" s="13">
        <v>0</v>
      </c>
      <c r="AW116" s="13">
        <v>0</v>
      </c>
      <c r="AX116" s="13">
        <v>3967.64</v>
      </c>
      <c r="AY116" s="13">
        <v>220.42444444444436</v>
      </c>
      <c r="AZ116" s="13">
        <v>0</v>
      </c>
      <c r="BA116" s="13"/>
      <c r="BB116" s="13"/>
      <c r="BC116" s="13">
        <v>-3747.2155555555555</v>
      </c>
      <c r="BD116" s="13"/>
      <c r="BE116" s="13" t="s">
        <v>114</v>
      </c>
      <c r="BF116" s="29"/>
      <c r="BG116" s="13"/>
      <c r="BH116" s="13">
        <f>-FAR[[#This Row],[Carrying value (opening balance)]]/FAR[[#This Row],[Opening RUL 30 June 2026]]</f>
        <v>-220.42444444444436</v>
      </c>
      <c r="BI116" s="13">
        <f>FAR[[#This Row],[Depreciation YTD]]/12</f>
        <v>-18.368703703703698</v>
      </c>
      <c r="BJ116" s="13"/>
      <c r="BK116" s="13" t="s">
        <v>116</v>
      </c>
      <c r="BL116" s="13">
        <v>0</v>
      </c>
      <c r="BM116" s="13">
        <f>FAR[[#This Row],[Accumulated depreciation (Opening balance)]]+FAR[[#This Row],[Depreciation YTD]]+FAR[[#This Row],[Derecognitions (acc dep) '[+']]]</f>
        <v>-3967.64</v>
      </c>
      <c r="BN116" s="13"/>
      <c r="BO116" s="13"/>
      <c r="BP116" s="13"/>
      <c r="BQ116" s="13"/>
      <c r="BR11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16" s="13">
        <f>FAR[[#This Row],[Cost Price (closing balance)]]+FAR[[#This Row],[Accumulated depreciation (Closing balance)]]+FAR[[#This Row],[Accumulated impairments (Closing balance)]]</f>
        <v>0</v>
      </c>
      <c r="BT116" s="13"/>
      <c r="BU116" s="13"/>
      <c r="BV116" s="13"/>
      <c r="BW116" s="10" t="s">
        <v>167</v>
      </c>
      <c r="BX116" s="9" t="s">
        <v>168</v>
      </c>
      <c r="BY116" s="10"/>
      <c r="BZ116" t="s">
        <v>984</v>
      </c>
      <c r="CA116"/>
      <c r="CB116" s="34"/>
      <c r="CC116" s="34"/>
      <c r="CD116" s="34"/>
      <c r="CE116" s="141"/>
    </row>
    <row r="117" spans="1:83">
      <c r="A117" s="35" t="s">
        <v>288</v>
      </c>
      <c r="B117" s="9" t="s">
        <v>876</v>
      </c>
      <c r="C117" s="9" t="s">
        <v>54</v>
      </c>
      <c r="D117" s="10" t="s">
        <v>1</v>
      </c>
      <c r="E117" s="9" t="s">
        <v>115</v>
      </c>
      <c r="F117" s="36" t="s">
        <v>99</v>
      </c>
      <c r="G117" s="9" t="s">
        <v>100</v>
      </c>
      <c r="H117" s="3" t="s">
        <v>128</v>
      </c>
      <c r="I117" s="9" t="s">
        <v>100</v>
      </c>
      <c r="J117" s="36" t="s">
        <v>101</v>
      </c>
      <c r="K117" s="10" t="s">
        <v>559</v>
      </c>
      <c r="L117" s="10" t="s">
        <v>559</v>
      </c>
      <c r="M117" s="9" t="s">
        <v>100</v>
      </c>
      <c r="N117" s="10" t="s">
        <v>481</v>
      </c>
      <c r="O117" s="9" t="s">
        <v>100</v>
      </c>
      <c r="P117" s="10"/>
      <c r="Q117" s="10" t="s">
        <v>481</v>
      </c>
      <c r="R117" s="10" t="s">
        <v>119</v>
      </c>
      <c r="S117" s="10" t="s">
        <v>130</v>
      </c>
      <c r="T117" s="10" t="s">
        <v>120</v>
      </c>
      <c r="U117" s="10" t="s">
        <v>101</v>
      </c>
      <c r="V117" s="10" t="s">
        <v>121</v>
      </c>
      <c r="W117" s="10" t="s">
        <v>122</v>
      </c>
      <c r="X117" s="10" t="s">
        <v>123</v>
      </c>
      <c r="Y117" s="29">
        <v>1</v>
      </c>
      <c r="Z117" s="138" t="s">
        <v>576</v>
      </c>
      <c r="AA117" s="138">
        <v>39430</v>
      </c>
      <c r="AB117" s="9" t="s">
        <v>114</v>
      </c>
      <c r="AC117" s="9" t="s">
        <v>124</v>
      </c>
      <c r="AD117" s="15">
        <v>44651</v>
      </c>
      <c r="AE117" s="39" t="s">
        <v>125</v>
      </c>
      <c r="AF117" s="177">
        <v>6</v>
      </c>
      <c r="AG117" s="140">
        <v>0</v>
      </c>
      <c r="AH117" s="9">
        <v>0</v>
      </c>
      <c r="AI117" s="10" t="s">
        <v>126</v>
      </c>
      <c r="AJ117" s="10"/>
      <c r="AK117" s="29"/>
      <c r="AL117" s="12">
        <v>1</v>
      </c>
      <c r="AM117" s="10"/>
      <c r="AN117" s="12">
        <f>FAR[[#This Row],[Opening RUL]]+FAR[[#This Row],[RUL Adjustment]]</f>
        <v>1</v>
      </c>
      <c r="AO117" s="12">
        <f>FAR[[#This Row],[Opening RUL 30 June 2026]]-1</f>
        <v>0</v>
      </c>
      <c r="AP117" s="12" t="s">
        <v>1050</v>
      </c>
      <c r="AQ117" s="139"/>
      <c r="AR117" s="10" t="s">
        <v>127</v>
      </c>
      <c r="AS117" s="13">
        <v>17968.77</v>
      </c>
      <c r="AT117" s="13"/>
      <c r="AU117" s="13">
        <v>0</v>
      </c>
      <c r="AV117" s="13">
        <v>0</v>
      </c>
      <c r="AW117" s="13">
        <v>0</v>
      </c>
      <c r="AX117" s="13">
        <v>17968.77</v>
      </c>
      <c r="AY117" s="13">
        <v>998.26499999999942</v>
      </c>
      <c r="AZ117" s="13">
        <v>0</v>
      </c>
      <c r="BA117" s="13"/>
      <c r="BB117" s="13"/>
      <c r="BC117" s="13">
        <v>-16970.505000000001</v>
      </c>
      <c r="BD117" s="13"/>
      <c r="BE117" s="13" t="s">
        <v>114</v>
      </c>
      <c r="BF117" s="29"/>
      <c r="BG117" s="13"/>
      <c r="BH117" s="13">
        <f>-FAR[[#This Row],[Carrying value (opening balance)]]/FAR[[#This Row],[Opening RUL 30 June 2026]]</f>
        <v>-998.26499999999942</v>
      </c>
      <c r="BI117" s="13">
        <f>FAR[[#This Row],[Depreciation YTD]]/12</f>
        <v>-83.188749999999956</v>
      </c>
      <c r="BJ117" s="13"/>
      <c r="BK117" s="13" t="s">
        <v>116</v>
      </c>
      <c r="BL117" s="13">
        <v>0</v>
      </c>
      <c r="BM117" s="13">
        <f>FAR[[#This Row],[Accumulated depreciation (Opening balance)]]+FAR[[#This Row],[Depreciation YTD]]+FAR[[#This Row],[Derecognitions (acc dep) '[+']]]</f>
        <v>-17968.77</v>
      </c>
      <c r="BN117" s="13"/>
      <c r="BO117" s="13"/>
      <c r="BP117" s="13"/>
      <c r="BQ117" s="13"/>
      <c r="BR11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17" s="13">
        <f>FAR[[#This Row],[Cost Price (closing balance)]]+FAR[[#This Row],[Accumulated depreciation (Closing balance)]]+FAR[[#This Row],[Accumulated impairments (Closing balance)]]</f>
        <v>0</v>
      </c>
      <c r="BT117" s="13"/>
      <c r="BU117" s="13"/>
      <c r="BV117" s="13"/>
      <c r="BW117" s="10" t="s">
        <v>167</v>
      </c>
      <c r="BX117" s="9" t="s">
        <v>168</v>
      </c>
      <c r="BY117" s="10"/>
      <c r="BZ117" t="s">
        <v>942</v>
      </c>
      <c r="CA117"/>
      <c r="CB117" s="34"/>
      <c r="CC117" s="34"/>
      <c r="CD117" s="34"/>
      <c r="CE117" s="141"/>
    </row>
    <row r="118" spans="1:83">
      <c r="A118" s="35" t="s">
        <v>289</v>
      </c>
      <c r="B118" s="9" t="s">
        <v>874</v>
      </c>
      <c r="C118" s="9" t="s">
        <v>54</v>
      </c>
      <c r="D118" s="10" t="s">
        <v>1</v>
      </c>
      <c r="E118" s="9" t="s">
        <v>115</v>
      </c>
      <c r="F118" s="36" t="s">
        <v>99</v>
      </c>
      <c r="G118" s="9" t="s">
        <v>100</v>
      </c>
      <c r="H118" s="3" t="s">
        <v>128</v>
      </c>
      <c r="I118" s="9" t="s">
        <v>100</v>
      </c>
      <c r="J118" s="36" t="s">
        <v>101</v>
      </c>
      <c r="K118" s="10" t="s">
        <v>559</v>
      </c>
      <c r="L118" s="10" t="s">
        <v>559</v>
      </c>
      <c r="M118" s="9" t="s">
        <v>100</v>
      </c>
      <c r="N118" s="10" t="s">
        <v>482</v>
      </c>
      <c r="O118" s="9" t="s">
        <v>100</v>
      </c>
      <c r="P118" s="10"/>
      <c r="Q118" s="10" t="s">
        <v>482</v>
      </c>
      <c r="R118" s="10" t="s">
        <v>119</v>
      </c>
      <c r="S118" s="10" t="s">
        <v>130</v>
      </c>
      <c r="T118" s="10" t="s">
        <v>120</v>
      </c>
      <c r="U118" s="10" t="s">
        <v>101</v>
      </c>
      <c r="V118" s="10" t="s">
        <v>121</v>
      </c>
      <c r="W118" s="10" t="s">
        <v>122</v>
      </c>
      <c r="X118" s="10" t="s">
        <v>123</v>
      </c>
      <c r="Y118" s="29">
        <v>1</v>
      </c>
      <c r="Z118" s="138" t="s">
        <v>577</v>
      </c>
      <c r="AA118" s="138">
        <v>39596</v>
      </c>
      <c r="AB118" s="9" t="s">
        <v>114</v>
      </c>
      <c r="AC118" s="9" t="s">
        <v>124</v>
      </c>
      <c r="AD118" s="15">
        <v>44651</v>
      </c>
      <c r="AE118" s="39" t="s">
        <v>125</v>
      </c>
      <c r="AF118" s="177">
        <v>6</v>
      </c>
      <c r="AG118" s="140">
        <v>0</v>
      </c>
      <c r="AH118" s="9">
        <v>0</v>
      </c>
      <c r="AI118" s="10" t="s">
        <v>126</v>
      </c>
      <c r="AJ118" s="10"/>
      <c r="AK118" s="29"/>
      <c r="AL118" s="12">
        <v>1</v>
      </c>
      <c r="AM118" s="10"/>
      <c r="AN118" s="12">
        <f>FAR[[#This Row],[Opening RUL]]+FAR[[#This Row],[RUL Adjustment]]</f>
        <v>1</v>
      </c>
      <c r="AO118" s="12">
        <f>FAR[[#This Row],[Opening RUL 30 June 2026]]-1</f>
        <v>0</v>
      </c>
      <c r="AP118" s="12" t="s">
        <v>1050</v>
      </c>
      <c r="AQ118" s="139"/>
      <c r="AR118" s="10" t="s">
        <v>127</v>
      </c>
      <c r="AS118" s="13">
        <v>3762</v>
      </c>
      <c r="AT118" s="13"/>
      <c r="AU118" s="13">
        <v>0</v>
      </c>
      <c r="AV118" s="13">
        <v>0</v>
      </c>
      <c r="AW118" s="13">
        <v>0</v>
      </c>
      <c r="AX118" s="13">
        <v>3762</v>
      </c>
      <c r="AY118" s="13">
        <v>209</v>
      </c>
      <c r="AZ118" s="13">
        <v>0</v>
      </c>
      <c r="BA118" s="13"/>
      <c r="BB118" s="13"/>
      <c r="BC118" s="13">
        <v>-3553</v>
      </c>
      <c r="BD118" s="13"/>
      <c r="BE118" s="13" t="s">
        <v>114</v>
      </c>
      <c r="BF118" s="29"/>
      <c r="BG118" s="13"/>
      <c r="BH118" s="13">
        <f>-FAR[[#This Row],[Carrying value (opening balance)]]/FAR[[#This Row],[Opening RUL 30 June 2026]]</f>
        <v>-209</v>
      </c>
      <c r="BI118" s="13">
        <f>FAR[[#This Row],[Depreciation YTD]]/12</f>
        <v>-17.416666666666668</v>
      </c>
      <c r="BJ118" s="13"/>
      <c r="BK118" s="13" t="s">
        <v>116</v>
      </c>
      <c r="BL118" s="13">
        <v>0</v>
      </c>
      <c r="BM118" s="13">
        <f>FAR[[#This Row],[Accumulated depreciation (Opening balance)]]+FAR[[#This Row],[Depreciation YTD]]+FAR[[#This Row],[Derecognitions (acc dep) '[+']]]</f>
        <v>-3762</v>
      </c>
      <c r="BN118" s="13"/>
      <c r="BO118" s="13"/>
      <c r="BP118" s="13"/>
      <c r="BQ118" s="13"/>
      <c r="BR11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18" s="13">
        <f>FAR[[#This Row],[Cost Price (closing balance)]]+FAR[[#This Row],[Accumulated depreciation (Closing balance)]]+FAR[[#This Row],[Accumulated impairments (Closing balance)]]</f>
        <v>0</v>
      </c>
      <c r="BT118" s="13"/>
      <c r="BU118" s="13"/>
      <c r="BV118" s="13"/>
      <c r="BW118" s="10" t="s">
        <v>167</v>
      </c>
      <c r="BX118" s="9" t="s">
        <v>168</v>
      </c>
      <c r="BY118" s="10"/>
      <c r="BZ118" t="s">
        <v>976</v>
      </c>
      <c r="CA118"/>
      <c r="CB118" s="34"/>
      <c r="CC118" s="34"/>
      <c r="CD118" s="34"/>
      <c r="CE118" s="141"/>
    </row>
    <row r="119" spans="1:83">
      <c r="A119" s="35" t="s">
        <v>290</v>
      </c>
      <c r="B119" s="9" t="s">
        <v>863</v>
      </c>
      <c r="C119" s="9" t="s">
        <v>54</v>
      </c>
      <c r="D119" s="10" t="s">
        <v>1</v>
      </c>
      <c r="E119" s="9" t="s">
        <v>115</v>
      </c>
      <c r="F119" s="36" t="s">
        <v>99</v>
      </c>
      <c r="G119" s="9" t="s">
        <v>100</v>
      </c>
      <c r="H119" s="3" t="s">
        <v>128</v>
      </c>
      <c r="I119" s="9" t="s">
        <v>100</v>
      </c>
      <c r="J119" s="36" t="s">
        <v>101</v>
      </c>
      <c r="K119" s="10" t="s">
        <v>559</v>
      </c>
      <c r="L119" s="10" t="s">
        <v>559</v>
      </c>
      <c r="M119" s="9" t="s">
        <v>100</v>
      </c>
      <c r="N119" s="10" t="s">
        <v>483</v>
      </c>
      <c r="O119" s="9" t="s">
        <v>100</v>
      </c>
      <c r="P119" s="10"/>
      <c r="Q119" s="10" t="s">
        <v>483</v>
      </c>
      <c r="R119" s="10" t="s">
        <v>119</v>
      </c>
      <c r="S119" s="10" t="s">
        <v>130</v>
      </c>
      <c r="T119" s="10" t="s">
        <v>120</v>
      </c>
      <c r="U119" s="10" t="s">
        <v>101</v>
      </c>
      <c r="V119" s="10" t="s">
        <v>121</v>
      </c>
      <c r="W119" s="10" t="s">
        <v>122</v>
      </c>
      <c r="X119" s="10" t="s">
        <v>123</v>
      </c>
      <c r="Y119" s="29">
        <v>1</v>
      </c>
      <c r="Z119" s="138" t="s">
        <v>578</v>
      </c>
      <c r="AA119" s="138">
        <v>39883</v>
      </c>
      <c r="AB119" s="9" t="s">
        <v>114</v>
      </c>
      <c r="AC119" s="9" t="s">
        <v>124</v>
      </c>
      <c r="AD119" s="15">
        <v>44651</v>
      </c>
      <c r="AE119" s="39" t="s">
        <v>125</v>
      </c>
      <c r="AF119" s="177">
        <v>6</v>
      </c>
      <c r="AG119" s="140">
        <v>0</v>
      </c>
      <c r="AH119" s="9">
        <v>0</v>
      </c>
      <c r="AI119" s="10" t="s">
        <v>126</v>
      </c>
      <c r="AJ119" s="10"/>
      <c r="AK119" s="29"/>
      <c r="AL119" s="12">
        <v>1</v>
      </c>
      <c r="AM119" s="10"/>
      <c r="AN119" s="12">
        <f>FAR[[#This Row],[Opening RUL]]+FAR[[#This Row],[RUL Adjustment]]</f>
        <v>1</v>
      </c>
      <c r="AO119" s="12">
        <f>FAR[[#This Row],[Opening RUL 30 June 2026]]-1</f>
        <v>0</v>
      </c>
      <c r="AP119" s="12" t="s">
        <v>1051</v>
      </c>
      <c r="AQ119" s="139"/>
      <c r="AR119" s="10" t="s">
        <v>127</v>
      </c>
      <c r="AS119" s="13">
        <v>4446</v>
      </c>
      <c r="AT119" s="13"/>
      <c r="AU119" s="13">
        <v>0</v>
      </c>
      <c r="AV119" s="13">
        <v>0</v>
      </c>
      <c r="AW119" s="13">
        <v>0</v>
      </c>
      <c r="AX119" s="13">
        <v>4446</v>
      </c>
      <c r="AY119" s="13">
        <v>247</v>
      </c>
      <c r="AZ119" s="13">
        <v>0</v>
      </c>
      <c r="BA119" s="13"/>
      <c r="BB119" s="13"/>
      <c r="BC119" s="13">
        <v>-4199</v>
      </c>
      <c r="BD119" s="13"/>
      <c r="BE119" s="13" t="s">
        <v>114</v>
      </c>
      <c r="BF119" s="29"/>
      <c r="BG119" s="13"/>
      <c r="BH119" s="13">
        <f>-FAR[[#This Row],[Carrying value (opening balance)]]/FAR[[#This Row],[Opening RUL 30 June 2026]]</f>
        <v>-247</v>
      </c>
      <c r="BI119" s="13">
        <f>FAR[[#This Row],[Depreciation YTD]]/12</f>
        <v>-20.583333333333332</v>
      </c>
      <c r="BJ119" s="13"/>
      <c r="BK119" s="13" t="s">
        <v>116</v>
      </c>
      <c r="BL119" s="13">
        <v>0</v>
      </c>
      <c r="BM119" s="13">
        <f>FAR[[#This Row],[Accumulated depreciation (Opening balance)]]+FAR[[#This Row],[Depreciation YTD]]+FAR[[#This Row],[Derecognitions (acc dep) '[+']]]</f>
        <v>-4446</v>
      </c>
      <c r="BN119" s="13"/>
      <c r="BO119" s="13"/>
      <c r="BP119" s="13"/>
      <c r="BQ119" s="13"/>
      <c r="BR11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19" s="13">
        <f>FAR[[#This Row],[Cost Price (closing balance)]]+FAR[[#This Row],[Accumulated depreciation (Closing balance)]]+FAR[[#This Row],[Accumulated impairments (Closing balance)]]</f>
        <v>0</v>
      </c>
      <c r="BT119" s="13"/>
      <c r="BU119" s="13"/>
      <c r="BV119" s="13"/>
      <c r="BW119" s="10" t="s">
        <v>167</v>
      </c>
      <c r="BX119" s="9" t="s">
        <v>168</v>
      </c>
      <c r="BY119" s="10"/>
      <c r="BZ119" t="s">
        <v>947</v>
      </c>
      <c r="CA119"/>
      <c r="CB119" s="34"/>
      <c r="CC119" s="34"/>
      <c r="CD119" s="34"/>
      <c r="CE119" s="141"/>
    </row>
    <row r="120" spans="1:83">
      <c r="A120" s="35" t="s">
        <v>291</v>
      </c>
      <c r="B120" s="9" t="s">
        <v>892</v>
      </c>
      <c r="C120" s="9" t="s">
        <v>54</v>
      </c>
      <c r="D120" s="10" t="s">
        <v>1</v>
      </c>
      <c r="E120" s="9" t="s">
        <v>115</v>
      </c>
      <c r="F120" s="36" t="s">
        <v>99</v>
      </c>
      <c r="G120" s="9" t="s">
        <v>100</v>
      </c>
      <c r="H120" s="3" t="s">
        <v>128</v>
      </c>
      <c r="I120" s="9" t="s">
        <v>100</v>
      </c>
      <c r="J120" s="36" t="s">
        <v>101</v>
      </c>
      <c r="K120" s="10" t="s">
        <v>559</v>
      </c>
      <c r="L120" s="10" t="s">
        <v>559</v>
      </c>
      <c r="M120" s="9" t="s">
        <v>100</v>
      </c>
      <c r="N120" s="10" t="s">
        <v>484</v>
      </c>
      <c r="O120" s="9" t="s">
        <v>100</v>
      </c>
      <c r="P120" s="10"/>
      <c r="Q120" s="10" t="s">
        <v>484</v>
      </c>
      <c r="R120" s="10" t="s">
        <v>119</v>
      </c>
      <c r="S120" s="10" t="s">
        <v>130</v>
      </c>
      <c r="T120" s="10" t="s">
        <v>120</v>
      </c>
      <c r="U120" s="10" t="s">
        <v>101</v>
      </c>
      <c r="V120" s="10" t="s">
        <v>121</v>
      </c>
      <c r="W120" s="10" t="s">
        <v>122</v>
      </c>
      <c r="X120" s="10" t="s">
        <v>123</v>
      </c>
      <c r="Y120" s="29">
        <v>1</v>
      </c>
      <c r="Z120" s="138" t="s">
        <v>578</v>
      </c>
      <c r="AA120" s="138">
        <v>39883</v>
      </c>
      <c r="AB120" s="9" t="s">
        <v>114</v>
      </c>
      <c r="AC120" s="9" t="s">
        <v>124</v>
      </c>
      <c r="AD120" s="15">
        <v>44651</v>
      </c>
      <c r="AE120" s="39" t="s">
        <v>125</v>
      </c>
      <c r="AF120" s="177">
        <v>6</v>
      </c>
      <c r="AG120" s="140">
        <v>0</v>
      </c>
      <c r="AH120" s="9">
        <v>0</v>
      </c>
      <c r="AI120" s="10" t="s">
        <v>126</v>
      </c>
      <c r="AJ120" s="10"/>
      <c r="AK120" s="29"/>
      <c r="AL120" s="12">
        <v>1</v>
      </c>
      <c r="AM120" s="10"/>
      <c r="AN120" s="12">
        <f>FAR[[#This Row],[Opening RUL]]+FAR[[#This Row],[RUL Adjustment]]</f>
        <v>1</v>
      </c>
      <c r="AO120" s="12">
        <f>FAR[[#This Row],[Opening RUL 30 June 2026]]-1</f>
        <v>0</v>
      </c>
      <c r="AP120" s="12" t="s">
        <v>1050</v>
      </c>
      <c r="AQ120" s="139"/>
      <c r="AR120" s="10" t="s">
        <v>127</v>
      </c>
      <c r="AS120" s="13">
        <v>9866.2199999999993</v>
      </c>
      <c r="AT120" s="13"/>
      <c r="AU120" s="13">
        <v>0</v>
      </c>
      <c r="AV120" s="13">
        <v>0</v>
      </c>
      <c r="AW120" s="13">
        <v>0</v>
      </c>
      <c r="AX120" s="13">
        <v>9866.2199999999993</v>
      </c>
      <c r="AY120" s="13">
        <v>548.12333333333481</v>
      </c>
      <c r="AZ120" s="13">
        <v>0</v>
      </c>
      <c r="BA120" s="13"/>
      <c r="BB120" s="13"/>
      <c r="BC120" s="13">
        <v>-9318.0966666666645</v>
      </c>
      <c r="BD120" s="13"/>
      <c r="BE120" s="13" t="s">
        <v>114</v>
      </c>
      <c r="BF120" s="29"/>
      <c r="BG120" s="13"/>
      <c r="BH120" s="13">
        <f>-FAR[[#This Row],[Carrying value (opening balance)]]/FAR[[#This Row],[Opening RUL 30 June 2026]]</f>
        <v>-548.12333333333481</v>
      </c>
      <c r="BI120" s="13">
        <f>FAR[[#This Row],[Depreciation YTD]]/12</f>
        <v>-45.676944444444565</v>
      </c>
      <c r="BJ120" s="13"/>
      <c r="BK120" s="13" t="s">
        <v>116</v>
      </c>
      <c r="BL120" s="13">
        <v>0</v>
      </c>
      <c r="BM120" s="13">
        <f>FAR[[#This Row],[Accumulated depreciation (Opening balance)]]+FAR[[#This Row],[Depreciation YTD]]+FAR[[#This Row],[Derecognitions (acc dep) '[+']]]</f>
        <v>-9866.2199999999993</v>
      </c>
      <c r="BN120" s="13"/>
      <c r="BO120" s="13"/>
      <c r="BP120" s="13"/>
      <c r="BQ120" s="13"/>
      <c r="BR12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20" s="13">
        <f>FAR[[#This Row],[Cost Price (closing balance)]]+FAR[[#This Row],[Accumulated depreciation (Closing balance)]]+FAR[[#This Row],[Accumulated impairments (Closing balance)]]</f>
        <v>0</v>
      </c>
      <c r="BT120" s="13"/>
      <c r="BU120" s="13"/>
      <c r="BV120" s="13"/>
      <c r="BW120" s="10" t="s">
        <v>167</v>
      </c>
      <c r="BX120" s="9" t="s">
        <v>168</v>
      </c>
      <c r="BY120" s="10"/>
      <c r="BZ120" t="s">
        <v>980</v>
      </c>
      <c r="CA120"/>
      <c r="CB120" s="34"/>
      <c r="CC120" s="34"/>
      <c r="CD120" s="34"/>
      <c r="CE120" s="141"/>
    </row>
    <row r="121" spans="1:83">
      <c r="A121" s="35" t="s">
        <v>292</v>
      </c>
      <c r="B121" s="9" t="s">
        <v>865</v>
      </c>
      <c r="C121" s="9" t="s">
        <v>54</v>
      </c>
      <c r="D121" s="10" t="s">
        <v>1</v>
      </c>
      <c r="E121" s="9" t="s">
        <v>115</v>
      </c>
      <c r="F121" s="36" t="s">
        <v>99</v>
      </c>
      <c r="G121" s="9" t="s">
        <v>100</v>
      </c>
      <c r="H121" s="3" t="s">
        <v>128</v>
      </c>
      <c r="I121" s="9" t="s">
        <v>100</v>
      </c>
      <c r="J121" s="36" t="s">
        <v>101</v>
      </c>
      <c r="K121" s="10" t="s">
        <v>559</v>
      </c>
      <c r="L121" s="10" t="s">
        <v>559</v>
      </c>
      <c r="M121" s="9" t="s">
        <v>100</v>
      </c>
      <c r="N121" s="10" t="s">
        <v>485</v>
      </c>
      <c r="O121" s="9" t="s">
        <v>100</v>
      </c>
      <c r="P121" s="10"/>
      <c r="Q121" s="10" t="s">
        <v>485</v>
      </c>
      <c r="R121" s="10" t="s">
        <v>119</v>
      </c>
      <c r="S121" s="10" t="s">
        <v>130</v>
      </c>
      <c r="T121" s="10" t="s">
        <v>120</v>
      </c>
      <c r="U121" s="10" t="s">
        <v>101</v>
      </c>
      <c r="V121" s="10" t="s">
        <v>121</v>
      </c>
      <c r="W121" s="10" t="s">
        <v>122</v>
      </c>
      <c r="X121" s="10" t="s">
        <v>123</v>
      </c>
      <c r="Y121" s="29">
        <v>1</v>
      </c>
      <c r="Z121" s="138" t="s">
        <v>578</v>
      </c>
      <c r="AA121" s="138">
        <v>39883</v>
      </c>
      <c r="AB121" s="9" t="s">
        <v>114</v>
      </c>
      <c r="AC121" s="9" t="s">
        <v>124</v>
      </c>
      <c r="AD121" s="15">
        <v>44651</v>
      </c>
      <c r="AE121" s="39" t="s">
        <v>125</v>
      </c>
      <c r="AF121" s="177">
        <v>6</v>
      </c>
      <c r="AG121" s="140">
        <v>0</v>
      </c>
      <c r="AH121" s="9">
        <v>0</v>
      </c>
      <c r="AI121" s="10" t="s">
        <v>126</v>
      </c>
      <c r="AJ121" s="10"/>
      <c r="AK121" s="29"/>
      <c r="AL121" s="12">
        <v>1</v>
      </c>
      <c r="AM121" s="10"/>
      <c r="AN121" s="12">
        <f>FAR[[#This Row],[Opening RUL]]+FAR[[#This Row],[RUL Adjustment]]</f>
        <v>1</v>
      </c>
      <c r="AO121" s="12">
        <f>FAR[[#This Row],[Opening RUL 30 June 2026]]-1</f>
        <v>0</v>
      </c>
      <c r="AP121" s="12" t="s">
        <v>1050</v>
      </c>
      <c r="AQ121" s="139"/>
      <c r="AR121" s="10" t="s">
        <v>127</v>
      </c>
      <c r="AS121" s="13">
        <v>615.6</v>
      </c>
      <c r="AT121" s="13"/>
      <c r="AU121" s="13">
        <v>0</v>
      </c>
      <c r="AV121" s="13">
        <v>0</v>
      </c>
      <c r="AW121" s="13">
        <v>0</v>
      </c>
      <c r="AX121" s="13">
        <v>615.6</v>
      </c>
      <c r="AY121" s="13">
        <v>34.199999999999932</v>
      </c>
      <c r="AZ121" s="13">
        <v>0</v>
      </c>
      <c r="BA121" s="13"/>
      <c r="BB121" s="13"/>
      <c r="BC121" s="13">
        <v>-581.40000000000009</v>
      </c>
      <c r="BD121" s="13"/>
      <c r="BE121" s="13" t="s">
        <v>114</v>
      </c>
      <c r="BF121" s="29"/>
      <c r="BG121" s="13"/>
      <c r="BH121" s="13">
        <f>-FAR[[#This Row],[Carrying value (opening balance)]]/FAR[[#This Row],[Opening RUL 30 June 2026]]</f>
        <v>-34.199999999999932</v>
      </c>
      <c r="BI121" s="13">
        <f>FAR[[#This Row],[Depreciation YTD]]/12</f>
        <v>-2.8499999999999943</v>
      </c>
      <c r="BJ121" s="13"/>
      <c r="BK121" s="13" t="s">
        <v>116</v>
      </c>
      <c r="BL121" s="13">
        <v>0</v>
      </c>
      <c r="BM121" s="13">
        <f>FAR[[#This Row],[Accumulated depreciation (Opening balance)]]+FAR[[#This Row],[Depreciation YTD]]+FAR[[#This Row],[Derecognitions (acc dep) '[+']]]</f>
        <v>-615.6</v>
      </c>
      <c r="BN121" s="13"/>
      <c r="BO121" s="13"/>
      <c r="BP121" s="13"/>
      <c r="BQ121" s="13"/>
      <c r="BR12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21" s="13">
        <f>FAR[[#This Row],[Cost Price (closing balance)]]+FAR[[#This Row],[Accumulated depreciation (Closing balance)]]+FAR[[#This Row],[Accumulated impairments (Closing balance)]]</f>
        <v>0</v>
      </c>
      <c r="BT121" s="13"/>
      <c r="BU121" s="13"/>
      <c r="BV121" s="13"/>
      <c r="BW121" s="10" t="s">
        <v>167</v>
      </c>
      <c r="BX121" s="9" t="s">
        <v>168</v>
      </c>
      <c r="BY121" s="10"/>
      <c r="BZ121" t="s">
        <v>938</v>
      </c>
      <c r="CA121"/>
      <c r="CB121" s="34"/>
      <c r="CC121" s="34"/>
      <c r="CD121" s="34"/>
      <c r="CE121" s="141"/>
    </row>
    <row r="122" spans="1:83">
      <c r="A122" s="35" t="s">
        <v>293</v>
      </c>
      <c r="B122" s="9" t="s">
        <v>875</v>
      </c>
      <c r="C122" s="9" t="s">
        <v>54</v>
      </c>
      <c r="D122" s="10" t="s">
        <v>1</v>
      </c>
      <c r="E122" s="9" t="s">
        <v>115</v>
      </c>
      <c r="F122" s="36" t="s">
        <v>99</v>
      </c>
      <c r="G122" s="9" t="s">
        <v>100</v>
      </c>
      <c r="H122" s="3" t="s">
        <v>128</v>
      </c>
      <c r="I122" s="9" t="s">
        <v>100</v>
      </c>
      <c r="J122" s="36" t="s">
        <v>101</v>
      </c>
      <c r="K122" s="10" t="s">
        <v>559</v>
      </c>
      <c r="L122" s="10" t="s">
        <v>559</v>
      </c>
      <c r="M122" s="9" t="s">
        <v>100</v>
      </c>
      <c r="N122" s="10" t="s">
        <v>486</v>
      </c>
      <c r="O122" s="9" t="s">
        <v>100</v>
      </c>
      <c r="P122" s="10"/>
      <c r="Q122" s="10" t="s">
        <v>486</v>
      </c>
      <c r="R122" s="10" t="s">
        <v>119</v>
      </c>
      <c r="S122" s="10" t="s">
        <v>130</v>
      </c>
      <c r="T122" s="10" t="s">
        <v>120</v>
      </c>
      <c r="U122" s="10" t="s">
        <v>101</v>
      </c>
      <c r="V122" s="10" t="s">
        <v>121</v>
      </c>
      <c r="W122" s="10" t="s">
        <v>122</v>
      </c>
      <c r="X122" s="10" t="s">
        <v>123</v>
      </c>
      <c r="Y122" s="29">
        <v>1</v>
      </c>
      <c r="Z122" s="138" t="s">
        <v>578</v>
      </c>
      <c r="AA122" s="138">
        <v>39883</v>
      </c>
      <c r="AB122" s="9" t="s">
        <v>114</v>
      </c>
      <c r="AC122" s="9" t="s">
        <v>124</v>
      </c>
      <c r="AD122" s="15">
        <v>44651</v>
      </c>
      <c r="AE122" s="39" t="s">
        <v>125</v>
      </c>
      <c r="AF122" s="177">
        <v>6</v>
      </c>
      <c r="AG122" s="140">
        <v>0</v>
      </c>
      <c r="AH122" s="9">
        <v>0</v>
      </c>
      <c r="AI122" s="10" t="s">
        <v>126</v>
      </c>
      <c r="AJ122" s="10"/>
      <c r="AK122" s="29"/>
      <c r="AL122" s="12">
        <v>1</v>
      </c>
      <c r="AM122" s="10"/>
      <c r="AN122" s="12">
        <f>FAR[[#This Row],[Opening RUL]]+FAR[[#This Row],[RUL Adjustment]]</f>
        <v>1</v>
      </c>
      <c r="AO122" s="12">
        <f>FAR[[#This Row],[Opening RUL 30 June 2026]]-1</f>
        <v>0</v>
      </c>
      <c r="AP122" s="12" t="s">
        <v>1050</v>
      </c>
      <c r="AQ122" s="139"/>
      <c r="AR122" s="10" t="s">
        <v>127</v>
      </c>
      <c r="AS122" s="13">
        <v>19722</v>
      </c>
      <c r="AT122" s="13"/>
      <c r="AU122" s="13">
        <v>0</v>
      </c>
      <c r="AV122" s="13">
        <v>0</v>
      </c>
      <c r="AW122" s="13">
        <v>0</v>
      </c>
      <c r="AX122" s="13">
        <v>19722</v>
      </c>
      <c r="AY122" s="13">
        <v>1095.6666666666642</v>
      </c>
      <c r="AZ122" s="13">
        <v>0</v>
      </c>
      <c r="BA122" s="13"/>
      <c r="BB122" s="13"/>
      <c r="BC122" s="13">
        <v>-18626.333333333336</v>
      </c>
      <c r="BD122" s="13"/>
      <c r="BE122" s="13" t="s">
        <v>114</v>
      </c>
      <c r="BF122" s="29"/>
      <c r="BG122" s="13"/>
      <c r="BH122" s="13">
        <f>-FAR[[#This Row],[Carrying value (opening balance)]]/FAR[[#This Row],[Opening RUL 30 June 2026]]</f>
        <v>-1095.6666666666642</v>
      </c>
      <c r="BI122" s="13">
        <f>FAR[[#This Row],[Depreciation YTD]]/12</f>
        <v>-91.305555555555358</v>
      </c>
      <c r="BJ122" s="13"/>
      <c r="BK122" s="13" t="s">
        <v>116</v>
      </c>
      <c r="BL122" s="13">
        <v>0</v>
      </c>
      <c r="BM122" s="13">
        <f>FAR[[#This Row],[Accumulated depreciation (Opening balance)]]+FAR[[#This Row],[Depreciation YTD]]+FAR[[#This Row],[Derecognitions (acc dep) '[+']]]</f>
        <v>-19722</v>
      </c>
      <c r="BN122" s="13"/>
      <c r="BO122" s="13"/>
      <c r="BP122" s="13"/>
      <c r="BQ122" s="13"/>
      <c r="BR12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22" s="13">
        <f>FAR[[#This Row],[Cost Price (closing balance)]]+FAR[[#This Row],[Accumulated depreciation (Closing balance)]]+FAR[[#This Row],[Accumulated impairments (Closing balance)]]</f>
        <v>0</v>
      </c>
      <c r="BT122" s="13"/>
      <c r="BU122" s="13"/>
      <c r="BV122" s="13"/>
      <c r="BW122" s="10" t="s">
        <v>167</v>
      </c>
      <c r="BX122" s="9" t="s">
        <v>168</v>
      </c>
      <c r="BY122" s="10"/>
      <c r="BZ122" t="s">
        <v>940</v>
      </c>
      <c r="CA122"/>
      <c r="CB122" s="34"/>
      <c r="CC122" s="34"/>
      <c r="CD122" s="34"/>
      <c r="CE122" s="141"/>
    </row>
    <row r="123" spans="1:83">
      <c r="A123" s="35" t="s">
        <v>294</v>
      </c>
      <c r="B123" s="9" t="s">
        <v>898</v>
      </c>
      <c r="C123" s="9" t="s">
        <v>54</v>
      </c>
      <c r="D123" s="10" t="s">
        <v>1</v>
      </c>
      <c r="E123" s="9" t="s">
        <v>115</v>
      </c>
      <c r="F123" s="36" t="s">
        <v>99</v>
      </c>
      <c r="G123" s="9" t="s">
        <v>100</v>
      </c>
      <c r="H123" s="3" t="s">
        <v>128</v>
      </c>
      <c r="I123" s="9" t="s">
        <v>100</v>
      </c>
      <c r="J123" s="36" t="s">
        <v>101</v>
      </c>
      <c r="K123" s="10" t="s">
        <v>559</v>
      </c>
      <c r="L123" s="10" t="s">
        <v>559</v>
      </c>
      <c r="M123" s="9" t="s">
        <v>100</v>
      </c>
      <c r="N123" s="10" t="s">
        <v>486</v>
      </c>
      <c r="O123" s="9" t="s">
        <v>100</v>
      </c>
      <c r="P123" s="10"/>
      <c r="Q123" s="10" t="s">
        <v>486</v>
      </c>
      <c r="R123" s="10" t="s">
        <v>119</v>
      </c>
      <c r="S123" s="10" t="s">
        <v>130</v>
      </c>
      <c r="T123" s="10" t="s">
        <v>120</v>
      </c>
      <c r="U123" s="10" t="s">
        <v>101</v>
      </c>
      <c r="V123" s="10" t="s">
        <v>121</v>
      </c>
      <c r="W123" s="10" t="s">
        <v>122</v>
      </c>
      <c r="X123" s="10" t="s">
        <v>123</v>
      </c>
      <c r="Y123" s="29">
        <v>1</v>
      </c>
      <c r="Z123" s="138" t="s">
        <v>578</v>
      </c>
      <c r="AA123" s="138">
        <v>39883</v>
      </c>
      <c r="AB123" s="9" t="s">
        <v>114</v>
      </c>
      <c r="AC123" s="9" t="s">
        <v>124</v>
      </c>
      <c r="AD123" s="15">
        <v>44651</v>
      </c>
      <c r="AE123" s="39" t="s">
        <v>125</v>
      </c>
      <c r="AF123" s="177">
        <v>6</v>
      </c>
      <c r="AG123" s="140">
        <v>0</v>
      </c>
      <c r="AH123" s="9">
        <v>0</v>
      </c>
      <c r="AI123" s="10" t="s">
        <v>126</v>
      </c>
      <c r="AJ123" s="10"/>
      <c r="AK123" s="29"/>
      <c r="AL123" s="12">
        <v>1</v>
      </c>
      <c r="AM123" s="10"/>
      <c r="AN123" s="12">
        <f>FAR[[#This Row],[Opening RUL]]+FAR[[#This Row],[RUL Adjustment]]</f>
        <v>1</v>
      </c>
      <c r="AO123" s="12">
        <f>FAR[[#This Row],[Opening RUL 30 June 2026]]-1</f>
        <v>0</v>
      </c>
      <c r="AP123" s="12" t="s">
        <v>1050</v>
      </c>
      <c r="AQ123" s="139"/>
      <c r="AR123" s="10" t="s">
        <v>127</v>
      </c>
      <c r="AS123" s="13">
        <v>25665.88</v>
      </c>
      <c r="AT123" s="13"/>
      <c r="AU123" s="13">
        <v>0</v>
      </c>
      <c r="AV123" s="13">
        <v>0</v>
      </c>
      <c r="AW123" s="13">
        <v>0</v>
      </c>
      <c r="AX123" s="13">
        <v>25665.88</v>
      </c>
      <c r="AY123" s="13">
        <v>1425.8822222222225</v>
      </c>
      <c r="AZ123" s="13">
        <v>0</v>
      </c>
      <c r="BA123" s="13"/>
      <c r="BB123" s="13"/>
      <c r="BC123" s="13">
        <v>-24239.997777777779</v>
      </c>
      <c r="BD123" s="13"/>
      <c r="BE123" s="13" t="s">
        <v>114</v>
      </c>
      <c r="BF123" s="29"/>
      <c r="BG123" s="13"/>
      <c r="BH123" s="13">
        <f>-FAR[[#This Row],[Carrying value (opening balance)]]/FAR[[#This Row],[Opening RUL 30 June 2026]]</f>
        <v>-1425.8822222222225</v>
      </c>
      <c r="BI123" s="13">
        <f>FAR[[#This Row],[Depreciation YTD]]/12</f>
        <v>-118.82351851851854</v>
      </c>
      <c r="BJ123" s="13"/>
      <c r="BK123" s="13" t="s">
        <v>116</v>
      </c>
      <c r="BL123" s="13">
        <v>0</v>
      </c>
      <c r="BM123" s="13">
        <f>FAR[[#This Row],[Accumulated depreciation (Opening balance)]]+FAR[[#This Row],[Depreciation YTD]]+FAR[[#This Row],[Derecognitions (acc dep) '[+']]]</f>
        <v>-25665.88</v>
      </c>
      <c r="BN123" s="13"/>
      <c r="BO123" s="13"/>
      <c r="BP123" s="13"/>
      <c r="BQ123" s="13"/>
      <c r="BR12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23" s="13">
        <f>FAR[[#This Row],[Cost Price (closing balance)]]+FAR[[#This Row],[Accumulated depreciation (Closing balance)]]+FAR[[#This Row],[Accumulated impairments (Closing balance)]]</f>
        <v>0</v>
      </c>
      <c r="BT123" s="13"/>
      <c r="BU123" s="13"/>
      <c r="BV123" s="13"/>
      <c r="BW123" s="10" t="s">
        <v>167</v>
      </c>
      <c r="BX123" s="9" t="s">
        <v>168</v>
      </c>
      <c r="BY123" s="10"/>
      <c r="BZ123" t="s">
        <v>985</v>
      </c>
      <c r="CA123"/>
      <c r="CB123" s="34"/>
      <c r="CC123" s="34"/>
      <c r="CD123" s="34"/>
      <c r="CE123" s="141"/>
    </row>
    <row r="124" spans="1:83">
      <c r="A124" s="35" t="s">
        <v>295</v>
      </c>
      <c r="B124" s="9" t="s">
        <v>859</v>
      </c>
      <c r="C124" s="9" t="s">
        <v>54</v>
      </c>
      <c r="D124" s="10" t="s">
        <v>1</v>
      </c>
      <c r="E124" s="9" t="s">
        <v>115</v>
      </c>
      <c r="F124" s="36" t="s">
        <v>99</v>
      </c>
      <c r="G124" s="9" t="s">
        <v>100</v>
      </c>
      <c r="H124" s="3" t="s">
        <v>128</v>
      </c>
      <c r="I124" s="9" t="s">
        <v>100</v>
      </c>
      <c r="J124" s="36" t="s">
        <v>101</v>
      </c>
      <c r="K124" s="10" t="s">
        <v>559</v>
      </c>
      <c r="L124" s="10" t="s">
        <v>559</v>
      </c>
      <c r="M124" s="9" t="s">
        <v>100</v>
      </c>
      <c r="N124" s="10" t="s">
        <v>487</v>
      </c>
      <c r="O124" s="9" t="s">
        <v>100</v>
      </c>
      <c r="P124" s="10"/>
      <c r="Q124" s="10" t="s">
        <v>487</v>
      </c>
      <c r="R124" s="10" t="s">
        <v>119</v>
      </c>
      <c r="S124" s="10" t="s">
        <v>130</v>
      </c>
      <c r="T124" s="10" t="s">
        <v>120</v>
      </c>
      <c r="U124" s="10" t="s">
        <v>101</v>
      </c>
      <c r="V124" s="10" t="s">
        <v>121</v>
      </c>
      <c r="W124" s="10" t="s">
        <v>122</v>
      </c>
      <c r="X124" s="10" t="s">
        <v>123</v>
      </c>
      <c r="Y124" s="29">
        <v>1</v>
      </c>
      <c r="Z124" s="138" t="s">
        <v>576</v>
      </c>
      <c r="AA124" s="138">
        <v>39430</v>
      </c>
      <c r="AB124" s="9" t="s">
        <v>114</v>
      </c>
      <c r="AC124" s="9" t="s">
        <v>124</v>
      </c>
      <c r="AD124" s="15">
        <v>44651</v>
      </c>
      <c r="AE124" s="39" t="s">
        <v>125</v>
      </c>
      <c r="AF124" s="177">
        <v>6</v>
      </c>
      <c r="AG124" s="140">
        <v>0</v>
      </c>
      <c r="AH124" s="9">
        <v>0</v>
      </c>
      <c r="AI124" s="10" t="s">
        <v>126</v>
      </c>
      <c r="AJ124" s="10"/>
      <c r="AK124" s="29"/>
      <c r="AL124" s="12">
        <v>1</v>
      </c>
      <c r="AM124" s="10"/>
      <c r="AN124" s="12">
        <f>FAR[[#This Row],[Opening RUL]]+FAR[[#This Row],[RUL Adjustment]]</f>
        <v>1</v>
      </c>
      <c r="AO124" s="12">
        <f>FAR[[#This Row],[Opening RUL 30 June 2026]]-1</f>
        <v>0</v>
      </c>
      <c r="AP124" s="12" t="s">
        <v>1050</v>
      </c>
      <c r="AQ124" s="139"/>
      <c r="AR124" s="10" t="s">
        <v>127</v>
      </c>
      <c r="AS124" s="13">
        <v>17968.77</v>
      </c>
      <c r="AT124" s="13"/>
      <c r="AU124" s="13">
        <v>0</v>
      </c>
      <c r="AV124" s="13">
        <v>0</v>
      </c>
      <c r="AW124" s="13">
        <v>0</v>
      </c>
      <c r="AX124" s="13">
        <v>17968.77</v>
      </c>
      <c r="AY124" s="13">
        <v>998.26499999999942</v>
      </c>
      <c r="AZ124" s="13">
        <v>0</v>
      </c>
      <c r="BA124" s="13"/>
      <c r="BB124" s="13"/>
      <c r="BC124" s="13">
        <v>-16970.505000000001</v>
      </c>
      <c r="BD124" s="13"/>
      <c r="BE124" s="13" t="s">
        <v>114</v>
      </c>
      <c r="BF124" s="29"/>
      <c r="BG124" s="13"/>
      <c r="BH124" s="13">
        <f>-FAR[[#This Row],[Carrying value (opening balance)]]/FAR[[#This Row],[Opening RUL 30 June 2026]]</f>
        <v>-998.26499999999942</v>
      </c>
      <c r="BI124" s="13">
        <f>FAR[[#This Row],[Depreciation YTD]]/12</f>
        <v>-83.188749999999956</v>
      </c>
      <c r="BJ124" s="13"/>
      <c r="BK124" s="13" t="s">
        <v>116</v>
      </c>
      <c r="BL124" s="13">
        <v>0</v>
      </c>
      <c r="BM124" s="13">
        <f>FAR[[#This Row],[Accumulated depreciation (Opening balance)]]+FAR[[#This Row],[Depreciation YTD]]+FAR[[#This Row],[Derecognitions (acc dep) '[+']]]</f>
        <v>-17968.77</v>
      </c>
      <c r="BN124" s="13"/>
      <c r="BO124" s="13"/>
      <c r="BP124" s="13"/>
      <c r="BQ124" s="13"/>
      <c r="BR12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24" s="13">
        <f>FAR[[#This Row],[Cost Price (closing balance)]]+FAR[[#This Row],[Accumulated depreciation (Closing balance)]]+FAR[[#This Row],[Accumulated impairments (Closing balance)]]</f>
        <v>0</v>
      </c>
      <c r="BT124" s="13"/>
      <c r="BU124" s="13"/>
      <c r="BV124" s="13"/>
      <c r="BW124" s="10" t="s">
        <v>167</v>
      </c>
      <c r="BX124" s="9" t="s">
        <v>168</v>
      </c>
      <c r="BY124" s="10"/>
      <c r="BZ124" t="s">
        <v>986</v>
      </c>
      <c r="CA124"/>
      <c r="CB124" s="34"/>
      <c r="CC124" s="34"/>
      <c r="CD124" s="34"/>
      <c r="CE124" s="141"/>
    </row>
    <row r="125" spans="1:83">
      <c r="A125" s="35" t="s">
        <v>296</v>
      </c>
      <c r="B125" s="9" t="s">
        <v>892</v>
      </c>
      <c r="C125" s="9" t="s">
        <v>54</v>
      </c>
      <c r="D125" s="10" t="s">
        <v>1</v>
      </c>
      <c r="E125" s="9" t="s">
        <v>115</v>
      </c>
      <c r="F125" s="36" t="s">
        <v>99</v>
      </c>
      <c r="G125" s="9" t="s">
        <v>100</v>
      </c>
      <c r="H125" s="3" t="s">
        <v>128</v>
      </c>
      <c r="I125" s="9" t="s">
        <v>100</v>
      </c>
      <c r="J125" s="36" t="s">
        <v>101</v>
      </c>
      <c r="K125" s="10" t="s">
        <v>559</v>
      </c>
      <c r="L125" s="10" t="s">
        <v>559</v>
      </c>
      <c r="M125" s="9" t="s">
        <v>100</v>
      </c>
      <c r="N125" s="10" t="s">
        <v>488</v>
      </c>
      <c r="O125" s="9" t="s">
        <v>100</v>
      </c>
      <c r="P125" s="10"/>
      <c r="Q125" s="10" t="s">
        <v>488</v>
      </c>
      <c r="R125" s="10" t="s">
        <v>119</v>
      </c>
      <c r="S125" s="10" t="s">
        <v>130</v>
      </c>
      <c r="T125" s="10" t="s">
        <v>120</v>
      </c>
      <c r="U125" s="10" t="s">
        <v>101</v>
      </c>
      <c r="V125" s="10" t="s">
        <v>121</v>
      </c>
      <c r="W125" s="10" t="s">
        <v>122</v>
      </c>
      <c r="X125" s="10" t="s">
        <v>123</v>
      </c>
      <c r="Y125" s="29">
        <v>1</v>
      </c>
      <c r="Z125" s="138" t="s">
        <v>579</v>
      </c>
      <c r="AA125" s="138">
        <v>40025</v>
      </c>
      <c r="AB125" s="9" t="s">
        <v>114</v>
      </c>
      <c r="AC125" s="9" t="s">
        <v>124</v>
      </c>
      <c r="AD125" s="15">
        <v>44651</v>
      </c>
      <c r="AE125" s="39" t="s">
        <v>125</v>
      </c>
      <c r="AF125" s="177">
        <v>6</v>
      </c>
      <c r="AG125" s="140">
        <v>0</v>
      </c>
      <c r="AH125" s="9">
        <v>0</v>
      </c>
      <c r="AI125" s="10" t="s">
        <v>126</v>
      </c>
      <c r="AJ125" s="10"/>
      <c r="AK125" s="29"/>
      <c r="AL125" s="12">
        <v>1</v>
      </c>
      <c r="AM125" s="10"/>
      <c r="AN125" s="12">
        <f>FAR[[#This Row],[Opening RUL]]+FAR[[#This Row],[RUL Adjustment]]</f>
        <v>1</v>
      </c>
      <c r="AO125" s="12">
        <f>FAR[[#This Row],[Opening RUL 30 June 2026]]-1</f>
        <v>0</v>
      </c>
      <c r="AP125" s="12" t="s">
        <v>1050</v>
      </c>
      <c r="AQ125" s="139"/>
      <c r="AR125" s="10" t="s">
        <v>127</v>
      </c>
      <c r="AS125" s="13">
        <v>12510.4</v>
      </c>
      <c r="AT125" s="13"/>
      <c r="AU125" s="13">
        <v>0</v>
      </c>
      <c r="AV125" s="13">
        <v>0</v>
      </c>
      <c r="AW125" s="13">
        <v>0</v>
      </c>
      <c r="AX125" s="13">
        <v>12510.4</v>
      </c>
      <c r="AY125" s="13">
        <v>695.02222222222372</v>
      </c>
      <c r="AZ125" s="13">
        <v>0</v>
      </c>
      <c r="BA125" s="13"/>
      <c r="BB125" s="13"/>
      <c r="BC125" s="13">
        <v>-11815.377777777776</v>
      </c>
      <c r="BD125" s="13"/>
      <c r="BE125" s="13" t="s">
        <v>114</v>
      </c>
      <c r="BF125" s="29"/>
      <c r="BG125" s="13"/>
      <c r="BH125" s="13">
        <f>-FAR[[#This Row],[Carrying value (opening balance)]]/FAR[[#This Row],[Opening RUL 30 June 2026]]</f>
        <v>-695.02222222222372</v>
      </c>
      <c r="BI125" s="13">
        <f>FAR[[#This Row],[Depreciation YTD]]/12</f>
        <v>-57.918518518518646</v>
      </c>
      <c r="BJ125" s="13"/>
      <c r="BK125" s="13" t="s">
        <v>116</v>
      </c>
      <c r="BL125" s="13">
        <v>0</v>
      </c>
      <c r="BM125" s="13">
        <f>FAR[[#This Row],[Accumulated depreciation (Opening balance)]]+FAR[[#This Row],[Depreciation YTD]]+FAR[[#This Row],[Derecognitions (acc dep) '[+']]]</f>
        <v>-12510.4</v>
      </c>
      <c r="BN125" s="13"/>
      <c r="BO125" s="13"/>
      <c r="BP125" s="13"/>
      <c r="BQ125" s="13"/>
      <c r="BR12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25" s="13">
        <f>FAR[[#This Row],[Cost Price (closing balance)]]+FAR[[#This Row],[Accumulated depreciation (Closing balance)]]+FAR[[#This Row],[Accumulated impairments (Closing balance)]]</f>
        <v>0</v>
      </c>
      <c r="BT125" s="13"/>
      <c r="BU125" s="13"/>
      <c r="BV125" s="13"/>
      <c r="BW125" s="10" t="s">
        <v>167</v>
      </c>
      <c r="BX125" s="9" t="s">
        <v>168</v>
      </c>
      <c r="BY125" s="10"/>
      <c r="BZ125" t="s">
        <v>980</v>
      </c>
      <c r="CA125"/>
      <c r="CB125" s="34"/>
      <c r="CC125" s="34"/>
      <c r="CD125" s="34"/>
      <c r="CE125" s="141"/>
    </row>
    <row r="126" spans="1:83">
      <c r="A126" s="35" t="s">
        <v>297</v>
      </c>
      <c r="B126" s="9" t="s">
        <v>867</v>
      </c>
      <c r="C126" s="9" t="s">
        <v>54</v>
      </c>
      <c r="D126" s="10" t="s">
        <v>1</v>
      </c>
      <c r="E126" s="9" t="s">
        <v>115</v>
      </c>
      <c r="F126" s="36" t="s">
        <v>99</v>
      </c>
      <c r="G126" s="9" t="s">
        <v>100</v>
      </c>
      <c r="H126" s="3" t="s">
        <v>128</v>
      </c>
      <c r="I126" s="9" t="s">
        <v>100</v>
      </c>
      <c r="J126" s="36" t="s">
        <v>101</v>
      </c>
      <c r="K126" s="10" t="s">
        <v>559</v>
      </c>
      <c r="L126" s="10" t="s">
        <v>559</v>
      </c>
      <c r="M126" s="9" t="s">
        <v>100</v>
      </c>
      <c r="N126" s="10" t="s">
        <v>489</v>
      </c>
      <c r="O126" s="9" t="s">
        <v>100</v>
      </c>
      <c r="P126" s="10"/>
      <c r="Q126" s="10" t="s">
        <v>489</v>
      </c>
      <c r="R126" s="10" t="s">
        <v>119</v>
      </c>
      <c r="S126" s="10" t="s">
        <v>130</v>
      </c>
      <c r="T126" s="10" t="s">
        <v>120</v>
      </c>
      <c r="U126" s="10" t="s">
        <v>101</v>
      </c>
      <c r="V126" s="10" t="s">
        <v>121</v>
      </c>
      <c r="W126" s="10" t="s">
        <v>122</v>
      </c>
      <c r="X126" s="10" t="s">
        <v>123</v>
      </c>
      <c r="Y126" s="29">
        <v>1</v>
      </c>
      <c r="Z126" s="138" t="s">
        <v>579</v>
      </c>
      <c r="AA126" s="138">
        <v>40025</v>
      </c>
      <c r="AB126" s="9" t="s">
        <v>114</v>
      </c>
      <c r="AC126" s="9" t="s">
        <v>124</v>
      </c>
      <c r="AD126" s="15">
        <v>44651</v>
      </c>
      <c r="AE126" s="39" t="s">
        <v>125</v>
      </c>
      <c r="AF126" s="177">
        <v>6</v>
      </c>
      <c r="AG126" s="140">
        <v>0</v>
      </c>
      <c r="AH126" s="9">
        <v>0</v>
      </c>
      <c r="AI126" s="10" t="s">
        <v>126</v>
      </c>
      <c r="AJ126" s="10"/>
      <c r="AK126" s="29"/>
      <c r="AL126" s="12">
        <v>1</v>
      </c>
      <c r="AM126" s="10"/>
      <c r="AN126" s="12">
        <f>FAR[[#This Row],[Opening RUL]]+FAR[[#This Row],[RUL Adjustment]]</f>
        <v>1</v>
      </c>
      <c r="AO126" s="12">
        <f>FAR[[#This Row],[Opening RUL 30 June 2026]]-1</f>
        <v>0</v>
      </c>
      <c r="AP126" s="12" t="s">
        <v>1051</v>
      </c>
      <c r="AQ126" s="139"/>
      <c r="AR126" s="10" t="s">
        <v>127</v>
      </c>
      <c r="AS126" s="13">
        <v>7011</v>
      </c>
      <c r="AT126" s="13"/>
      <c r="AU126" s="13">
        <v>0</v>
      </c>
      <c r="AV126" s="13">
        <v>0</v>
      </c>
      <c r="AW126" s="13">
        <v>0</v>
      </c>
      <c r="AX126" s="13">
        <v>7011</v>
      </c>
      <c r="AY126" s="13">
        <v>389.5</v>
      </c>
      <c r="AZ126" s="13">
        <v>0</v>
      </c>
      <c r="BA126" s="13"/>
      <c r="BB126" s="13"/>
      <c r="BC126" s="13">
        <v>-6621.5</v>
      </c>
      <c r="BD126" s="13"/>
      <c r="BE126" s="13" t="s">
        <v>114</v>
      </c>
      <c r="BF126" s="29"/>
      <c r="BG126" s="13"/>
      <c r="BH126" s="13">
        <f>-FAR[[#This Row],[Carrying value (opening balance)]]/FAR[[#This Row],[Opening RUL 30 June 2026]]</f>
        <v>-389.5</v>
      </c>
      <c r="BI126" s="13">
        <f>FAR[[#This Row],[Depreciation YTD]]/12</f>
        <v>-32.458333333333336</v>
      </c>
      <c r="BJ126" s="13"/>
      <c r="BK126" s="13" t="s">
        <v>116</v>
      </c>
      <c r="BL126" s="13">
        <v>0</v>
      </c>
      <c r="BM126" s="13">
        <f>FAR[[#This Row],[Accumulated depreciation (Opening balance)]]+FAR[[#This Row],[Depreciation YTD]]+FAR[[#This Row],[Derecognitions (acc dep) '[+']]]</f>
        <v>-7011</v>
      </c>
      <c r="BN126" s="13"/>
      <c r="BO126" s="13"/>
      <c r="BP126" s="13"/>
      <c r="BQ126" s="13"/>
      <c r="BR12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26" s="13">
        <f>FAR[[#This Row],[Cost Price (closing balance)]]+FAR[[#This Row],[Accumulated depreciation (Closing balance)]]+FAR[[#This Row],[Accumulated impairments (Closing balance)]]</f>
        <v>0</v>
      </c>
      <c r="BT126" s="13"/>
      <c r="BU126" s="13"/>
      <c r="BV126" s="13"/>
      <c r="BW126" s="10" t="s">
        <v>167</v>
      </c>
      <c r="BX126" s="9" t="s">
        <v>168</v>
      </c>
      <c r="BY126" s="10"/>
      <c r="BZ126" t="s">
        <v>951</v>
      </c>
      <c r="CA126"/>
      <c r="CB126" s="34"/>
      <c r="CC126" s="34"/>
      <c r="CD126" s="34"/>
      <c r="CE126" s="141"/>
    </row>
    <row r="127" spans="1:83">
      <c r="A127" s="35" t="s">
        <v>298</v>
      </c>
      <c r="B127" s="9" t="s">
        <v>860</v>
      </c>
      <c r="C127" s="9" t="s">
        <v>54</v>
      </c>
      <c r="D127" s="10" t="s">
        <v>1</v>
      </c>
      <c r="E127" s="9" t="s">
        <v>115</v>
      </c>
      <c r="F127" s="36" t="s">
        <v>99</v>
      </c>
      <c r="G127" s="9" t="s">
        <v>100</v>
      </c>
      <c r="H127" s="3" t="s">
        <v>128</v>
      </c>
      <c r="I127" s="9" t="s">
        <v>100</v>
      </c>
      <c r="J127" s="36" t="s">
        <v>101</v>
      </c>
      <c r="K127" s="10" t="s">
        <v>559</v>
      </c>
      <c r="L127" s="10" t="s">
        <v>559</v>
      </c>
      <c r="M127" s="9" t="s">
        <v>100</v>
      </c>
      <c r="N127" s="10" t="s">
        <v>490</v>
      </c>
      <c r="O127" s="9" t="s">
        <v>100</v>
      </c>
      <c r="P127" s="10"/>
      <c r="Q127" s="10" t="s">
        <v>490</v>
      </c>
      <c r="R127" s="10" t="s">
        <v>119</v>
      </c>
      <c r="S127" s="10" t="s">
        <v>130</v>
      </c>
      <c r="T127" s="10" t="s">
        <v>120</v>
      </c>
      <c r="U127" s="10" t="s">
        <v>101</v>
      </c>
      <c r="V127" s="10" t="s">
        <v>121</v>
      </c>
      <c r="W127" s="10" t="s">
        <v>122</v>
      </c>
      <c r="X127" s="10" t="s">
        <v>123</v>
      </c>
      <c r="Y127" s="29">
        <v>1</v>
      </c>
      <c r="Z127" s="138" t="s">
        <v>579</v>
      </c>
      <c r="AA127" s="138">
        <v>40025</v>
      </c>
      <c r="AB127" s="9" t="s">
        <v>114</v>
      </c>
      <c r="AC127" s="9" t="s">
        <v>124</v>
      </c>
      <c r="AD127" s="15">
        <v>44651</v>
      </c>
      <c r="AE127" s="39" t="s">
        <v>125</v>
      </c>
      <c r="AF127" s="177">
        <v>6</v>
      </c>
      <c r="AG127" s="140">
        <v>0</v>
      </c>
      <c r="AH127" s="9">
        <v>0</v>
      </c>
      <c r="AI127" s="10" t="s">
        <v>126</v>
      </c>
      <c r="AJ127" s="10"/>
      <c r="AK127" s="29"/>
      <c r="AL127" s="12">
        <v>1</v>
      </c>
      <c r="AM127" s="10"/>
      <c r="AN127" s="12">
        <f>FAR[[#This Row],[Opening RUL]]+FAR[[#This Row],[RUL Adjustment]]</f>
        <v>1</v>
      </c>
      <c r="AO127" s="12">
        <f>FAR[[#This Row],[Opening RUL 30 June 2026]]-1</f>
        <v>0</v>
      </c>
      <c r="AP127" s="12" t="s">
        <v>1050</v>
      </c>
      <c r="AQ127" s="139"/>
      <c r="AR127" s="10" t="s">
        <v>127</v>
      </c>
      <c r="AS127" s="13">
        <v>8892</v>
      </c>
      <c r="AT127" s="13"/>
      <c r="AU127" s="13">
        <v>0</v>
      </c>
      <c r="AV127" s="13">
        <v>0</v>
      </c>
      <c r="AW127" s="13">
        <v>0</v>
      </c>
      <c r="AX127" s="13">
        <v>8892</v>
      </c>
      <c r="AY127" s="13">
        <v>494</v>
      </c>
      <c r="AZ127" s="13">
        <v>0</v>
      </c>
      <c r="BA127" s="13"/>
      <c r="BB127" s="13"/>
      <c r="BC127" s="13">
        <v>-8398</v>
      </c>
      <c r="BD127" s="13"/>
      <c r="BE127" s="13" t="s">
        <v>114</v>
      </c>
      <c r="BF127" s="29"/>
      <c r="BG127" s="13"/>
      <c r="BH127" s="13">
        <f>-FAR[[#This Row],[Carrying value (opening balance)]]/FAR[[#This Row],[Opening RUL 30 June 2026]]</f>
        <v>-494</v>
      </c>
      <c r="BI127" s="13">
        <f>FAR[[#This Row],[Depreciation YTD]]/12</f>
        <v>-41.166666666666664</v>
      </c>
      <c r="BJ127" s="13"/>
      <c r="BK127" s="13" t="s">
        <v>116</v>
      </c>
      <c r="BL127" s="13">
        <v>0</v>
      </c>
      <c r="BM127" s="13">
        <f>FAR[[#This Row],[Accumulated depreciation (Opening balance)]]+FAR[[#This Row],[Depreciation YTD]]+FAR[[#This Row],[Derecognitions (acc dep) '[+']]]</f>
        <v>-8892</v>
      </c>
      <c r="BN127" s="13"/>
      <c r="BO127" s="13"/>
      <c r="BP127" s="13"/>
      <c r="BQ127" s="13"/>
      <c r="BR12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27" s="13">
        <f>FAR[[#This Row],[Cost Price (closing balance)]]+FAR[[#This Row],[Accumulated depreciation (Closing balance)]]+FAR[[#This Row],[Accumulated impairments (Closing balance)]]</f>
        <v>0</v>
      </c>
      <c r="BT127" s="13"/>
      <c r="BU127" s="13"/>
      <c r="BV127" s="13"/>
      <c r="BW127" s="10" t="s">
        <v>167</v>
      </c>
      <c r="BX127" s="9" t="s">
        <v>168</v>
      </c>
      <c r="BY127" s="10"/>
      <c r="BZ127" t="s">
        <v>945</v>
      </c>
      <c r="CA127"/>
      <c r="CB127" s="34"/>
      <c r="CC127" s="34"/>
      <c r="CD127" s="34"/>
      <c r="CE127" s="141"/>
    </row>
    <row r="128" spans="1:83">
      <c r="A128" s="35" t="s">
        <v>299</v>
      </c>
      <c r="B128" s="9">
        <v>0</v>
      </c>
      <c r="C128" s="9" t="s">
        <v>54</v>
      </c>
      <c r="D128" s="10" t="s">
        <v>1</v>
      </c>
      <c r="E128" s="9" t="s">
        <v>115</v>
      </c>
      <c r="F128" s="36" t="s">
        <v>99</v>
      </c>
      <c r="G128" s="9" t="s">
        <v>100</v>
      </c>
      <c r="H128" s="3" t="s">
        <v>128</v>
      </c>
      <c r="I128" s="9" t="s">
        <v>100</v>
      </c>
      <c r="J128" s="36" t="s">
        <v>101</v>
      </c>
      <c r="K128" s="10" t="s">
        <v>559</v>
      </c>
      <c r="L128" s="10" t="s">
        <v>559</v>
      </c>
      <c r="M128" s="9" t="s">
        <v>100</v>
      </c>
      <c r="N128" s="10" t="s">
        <v>491</v>
      </c>
      <c r="O128" s="9" t="s">
        <v>100</v>
      </c>
      <c r="P128" s="10"/>
      <c r="Q128" s="10" t="s">
        <v>491</v>
      </c>
      <c r="R128" s="10" t="s">
        <v>119</v>
      </c>
      <c r="S128" s="10" t="s">
        <v>130</v>
      </c>
      <c r="T128" s="10" t="s">
        <v>120</v>
      </c>
      <c r="U128" s="10" t="s">
        <v>101</v>
      </c>
      <c r="V128" s="10" t="s">
        <v>121</v>
      </c>
      <c r="W128" s="10" t="s">
        <v>122</v>
      </c>
      <c r="X128" s="10" t="s">
        <v>123</v>
      </c>
      <c r="Y128" s="29">
        <v>1</v>
      </c>
      <c r="Z128" s="138" t="s">
        <v>579</v>
      </c>
      <c r="AA128" s="138">
        <v>40025</v>
      </c>
      <c r="AB128" s="9" t="s">
        <v>114</v>
      </c>
      <c r="AC128" s="9" t="s">
        <v>124</v>
      </c>
      <c r="AD128" s="15">
        <v>44651</v>
      </c>
      <c r="AE128" s="39" t="s">
        <v>125</v>
      </c>
      <c r="AF128" s="177">
        <v>6</v>
      </c>
      <c r="AG128" s="140">
        <v>0</v>
      </c>
      <c r="AH128" s="9">
        <v>0</v>
      </c>
      <c r="AI128" s="10" t="s">
        <v>126</v>
      </c>
      <c r="AJ128" s="10"/>
      <c r="AK128" s="29"/>
      <c r="AL128" s="12">
        <v>1</v>
      </c>
      <c r="AM128" s="10"/>
      <c r="AN128" s="12">
        <f>FAR[[#This Row],[Opening RUL]]+FAR[[#This Row],[RUL Adjustment]]</f>
        <v>1</v>
      </c>
      <c r="AO128" s="12">
        <f>FAR[[#This Row],[Opening RUL 30 June 2026]]-1</f>
        <v>0</v>
      </c>
      <c r="AP128" s="12">
        <v>0</v>
      </c>
      <c r="AQ128" s="139"/>
      <c r="AR128" s="10" t="s">
        <v>127</v>
      </c>
      <c r="AS128" s="13">
        <v>7660.8</v>
      </c>
      <c r="AT128" s="13"/>
      <c r="AU128" s="13">
        <v>0</v>
      </c>
      <c r="AV128" s="13">
        <v>0</v>
      </c>
      <c r="AW128" s="13">
        <v>0</v>
      </c>
      <c r="AX128" s="13">
        <v>7660.8</v>
      </c>
      <c r="AY128" s="13">
        <v>425.59999999999945</v>
      </c>
      <c r="AZ128" s="13">
        <v>0</v>
      </c>
      <c r="BA128" s="13"/>
      <c r="BB128" s="13"/>
      <c r="BC128" s="13">
        <v>-7235.2000000000007</v>
      </c>
      <c r="BD128" s="13"/>
      <c r="BE128" s="13" t="s">
        <v>114</v>
      </c>
      <c r="BF128" s="29"/>
      <c r="BG128" s="13"/>
      <c r="BH128" s="13">
        <f>-FAR[[#This Row],[Carrying value (opening balance)]]/FAR[[#This Row],[Opening RUL 30 June 2026]]</f>
        <v>-425.59999999999945</v>
      </c>
      <c r="BI128" s="13">
        <f>FAR[[#This Row],[Depreciation YTD]]/12</f>
        <v>-35.466666666666619</v>
      </c>
      <c r="BJ128" s="13"/>
      <c r="BK128" s="13" t="s">
        <v>116</v>
      </c>
      <c r="BL128" s="13">
        <v>0</v>
      </c>
      <c r="BM128" s="13">
        <f>FAR[[#This Row],[Accumulated depreciation (Opening balance)]]+FAR[[#This Row],[Depreciation YTD]]+FAR[[#This Row],[Derecognitions (acc dep) '[+']]]</f>
        <v>-7660.8</v>
      </c>
      <c r="BN128" s="13"/>
      <c r="BO128" s="13"/>
      <c r="BP128" s="13"/>
      <c r="BQ128" s="13"/>
      <c r="BR12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28" s="13">
        <f>FAR[[#This Row],[Cost Price (closing balance)]]+FAR[[#This Row],[Accumulated depreciation (Closing balance)]]+FAR[[#This Row],[Accumulated impairments (Closing balance)]]</f>
        <v>0</v>
      </c>
      <c r="BT128" s="13"/>
      <c r="BU128" s="13"/>
      <c r="BV128" s="13"/>
      <c r="BW128" s="10" t="s">
        <v>167</v>
      </c>
      <c r="BX128" s="9" t="s">
        <v>168</v>
      </c>
      <c r="BY128" s="10"/>
      <c r="BZ128">
        <v>0</v>
      </c>
      <c r="CA128"/>
      <c r="CB128" s="34"/>
      <c r="CC128" s="34"/>
      <c r="CD128" s="34"/>
      <c r="CE128" s="141"/>
    </row>
    <row r="129" spans="1:83">
      <c r="A129" s="35" t="s">
        <v>300</v>
      </c>
      <c r="B129" s="9" t="s">
        <v>872</v>
      </c>
      <c r="C129" s="9" t="s">
        <v>54</v>
      </c>
      <c r="D129" s="10" t="s">
        <v>1</v>
      </c>
      <c r="E129" s="9" t="s">
        <v>115</v>
      </c>
      <c r="F129" s="36" t="s">
        <v>99</v>
      </c>
      <c r="G129" s="9" t="s">
        <v>100</v>
      </c>
      <c r="H129" s="3" t="s">
        <v>128</v>
      </c>
      <c r="I129" s="9" t="s">
        <v>100</v>
      </c>
      <c r="J129" s="36" t="s">
        <v>101</v>
      </c>
      <c r="K129" s="10" t="s">
        <v>559</v>
      </c>
      <c r="L129" s="10" t="s">
        <v>559</v>
      </c>
      <c r="M129" s="9" t="s">
        <v>100</v>
      </c>
      <c r="N129" s="10" t="s">
        <v>492</v>
      </c>
      <c r="O129" s="9" t="s">
        <v>100</v>
      </c>
      <c r="P129" s="10"/>
      <c r="Q129" s="10" t="s">
        <v>492</v>
      </c>
      <c r="R129" s="10" t="s">
        <v>119</v>
      </c>
      <c r="S129" s="10" t="s">
        <v>130</v>
      </c>
      <c r="T129" s="10" t="s">
        <v>120</v>
      </c>
      <c r="U129" s="10" t="s">
        <v>101</v>
      </c>
      <c r="V129" s="10" t="s">
        <v>121</v>
      </c>
      <c r="W129" s="10" t="s">
        <v>122</v>
      </c>
      <c r="X129" s="10" t="s">
        <v>123</v>
      </c>
      <c r="Y129" s="29">
        <v>1</v>
      </c>
      <c r="Z129" s="138" t="s">
        <v>579</v>
      </c>
      <c r="AA129" s="138">
        <v>40025</v>
      </c>
      <c r="AB129" s="9" t="s">
        <v>114</v>
      </c>
      <c r="AC129" s="9" t="s">
        <v>124</v>
      </c>
      <c r="AD129" s="15">
        <v>44651</v>
      </c>
      <c r="AE129" s="39" t="s">
        <v>125</v>
      </c>
      <c r="AF129" s="177">
        <v>6</v>
      </c>
      <c r="AG129" s="140">
        <v>0</v>
      </c>
      <c r="AH129" s="9">
        <v>0</v>
      </c>
      <c r="AI129" s="10" t="s">
        <v>126</v>
      </c>
      <c r="AJ129" s="10"/>
      <c r="AK129" s="29"/>
      <c r="AL129" s="12">
        <v>1</v>
      </c>
      <c r="AM129" s="10"/>
      <c r="AN129" s="12">
        <f>FAR[[#This Row],[Opening RUL]]+FAR[[#This Row],[RUL Adjustment]]</f>
        <v>1</v>
      </c>
      <c r="AO129" s="12">
        <f>FAR[[#This Row],[Opening RUL 30 June 2026]]-1</f>
        <v>0</v>
      </c>
      <c r="AP129" s="12" t="s">
        <v>1050</v>
      </c>
      <c r="AQ129" s="139"/>
      <c r="AR129" s="10" t="s">
        <v>127</v>
      </c>
      <c r="AS129" s="13">
        <v>8550</v>
      </c>
      <c r="AT129" s="13"/>
      <c r="AU129" s="13">
        <v>0</v>
      </c>
      <c r="AV129" s="13">
        <v>0</v>
      </c>
      <c r="AW129" s="13">
        <v>0</v>
      </c>
      <c r="AX129" s="13">
        <v>8550</v>
      </c>
      <c r="AY129" s="13">
        <v>475</v>
      </c>
      <c r="AZ129" s="13">
        <v>0</v>
      </c>
      <c r="BA129" s="13"/>
      <c r="BB129" s="13"/>
      <c r="BC129" s="13">
        <v>-8075</v>
      </c>
      <c r="BD129" s="13"/>
      <c r="BE129" s="13" t="s">
        <v>114</v>
      </c>
      <c r="BF129" s="29"/>
      <c r="BG129" s="13"/>
      <c r="BH129" s="13">
        <f>-FAR[[#This Row],[Carrying value (opening balance)]]/FAR[[#This Row],[Opening RUL 30 June 2026]]</f>
        <v>-475</v>
      </c>
      <c r="BI129" s="13">
        <f>FAR[[#This Row],[Depreciation YTD]]/12</f>
        <v>-39.583333333333336</v>
      </c>
      <c r="BJ129" s="13"/>
      <c r="BK129" s="13" t="s">
        <v>116</v>
      </c>
      <c r="BL129" s="13">
        <v>0</v>
      </c>
      <c r="BM129" s="13">
        <f>FAR[[#This Row],[Accumulated depreciation (Opening balance)]]+FAR[[#This Row],[Depreciation YTD]]+FAR[[#This Row],[Derecognitions (acc dep) '[+']]]</f>
        <v>-8550</v>
      </c>
      <c r="BN129" s="13"/>
      <c r="BO129" s="13"/>
      <c r="BP129" s="13"/>
      <c r="BQ129" s="13"/>
      <c r="BR12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29" s="13">
        <f>FAR[[#This Row],[Cost Price (closing balance)]]+FAR[[#This Row],[Accumulated depreciation (Closing balance)]]+FAR[[#This Row],[Accumulated impairments (Closing balance)]]</f>
        <v>0</v>
      </c>
      <c r="BT129" s="13"/>
      <c r="BU129" s="13"/>
      <c r="BV129" s="13"/>
      <c r="BW129" s="10" t="s">
        <v>167</v>
      </c>
      <c r="BX129" s="9" t="s">
        <v>168</v>
      </c>
      <c r="BY129" s="10"/>
      <c r="BZ129" t="s">
        <v>956</v>
      </c>
      <c r="CA129"/>
      <c r="CB129" s="34"/>
      <c r="CC129" s="34"/>
      <c r="CD129" s="34"/>
      <c r="CE129" s="141"/>
    </row>
    <row r="130" spans="1:83">
      <c r="A130" s="35" t="s">
        <v>301</v>
      </c>
      <c r="B130" s="9" t="s">
        <v>859</v>
      </c>
      <c r="C130" s="9" t="s">
        <v>54</v>
      </c>
      <c r="D130" s="10" t="s">
        <v>1</v>
      </c>
      <c r="E130" s="9" t="s">
        <v>115</v>
      </c>
      <c r="F130" s="36" t="s">
        <v>99</v>
      </c>
      <c r="G130" s="9" t="s">
        <v>100</v>
      </c>
      <c r="H130" s="3" t="s">
        <v>128</v>
      </c>
      <c r="I130" s="9" t="s">
        <v>100</v>
      </c>
      <c r="J130" s="36" t="s">
        <v>101</v>
      </c>
      <c r="K130" s="10" t="s">
        <v>559</v>
      </c>
      <c r="L130" s="10" t="s">
        <v>559</v>
      </c>
      <c r="M130" s="9" t="s">
        <v>100</v>
      </c>
      <c r="N130" s="10" t="s">
        <v>489</v>
      </c>
      <c r="O130" s="9" t="s">
        <v>100</v>
      </c>
      <c r="P130" s="10"/>
      <c r="Q130" s="10" t="s">
        <v>489</v>
      </c>
      <c r="R130" s="10" t="s">
        <v>119</v>
      </c>
      <c r="S130" s="10" t="s">
        <v>130</v>
      </c>
      <c r="T130" s="10" t="s">
        <v>120</v>
      </c>
      <c r="U130" s="10" t="s">
        <v>101</v>
      </c>
      <c r="V130" s="10" t="s">
        <v>121</v>
      </c>
      <c r="W130" s="10" t="s">
        <v>122</v>
      </c>
      <c r="X130" s="10" t="s">
        <v>123</v>
      </c>
      <c r="Y130" s="29">
        <v>1</v>
      </c>
      <c r="Z130" s="138" t="s">
        <v>579</v>
      </c>
      <c r="AA130" s="138">
        <v>40025</v>
      </c>
      <c r="AB130" s="9" t="s">
        <v>114</v>
      </c>
      <c r="AC130" s="9" t="s">
        <v>124</v>
      </c>
      <c r="AD130" s="15">
        <v>44651</v>
      </c>
      <c r="AE130" s="39" t="s">
        <v>125</v>
      </c>
      <c r="AF130" s="177">
        <v>6</v>
      </c>
      <c r="AG130" s="140">
        <v>0</v>
      </c>
      <c r="AH130" s="9">
        <v>0</v>
      </c>
      <c r="AI130" s="10" t="s">
        <v>126</v>
      </c>
      <c r="AJ130" s="10"/>
      <c r="AK130" s="29"/>
      <c r="AL130" s="12">
        <v>1</v>
      </c>
      <c r="AM130" s="10"/>
      <c r="AN130" s="12">
        <f>FAR[[#This Row],[Opening RUL]]+FAR[[#This Row],[RUL Adjustment]]</f>
        <v>1</v>
      </c>
      <c r="AO130" s="12">
        <f>FAR[[#This Row],[Opening RUL 30 June 2026]]-1</f>
        <v>0</v>
      </c>
      <c r="AP130" s="12" t="s">
        <v>1050</v>
      </c>
      <c r="AQ130" s="139"/>
      <c r="AR130" s="10" t="s">
        <v>127</v>
      </c>
      <c r="AS130" s="13">
        <v>7011</v>
      </c>
      <c r="AT130" s="13"/>
      <c r="AU130" s="13">
        <v>0</v>
      </c>
      <c r="AV130" s="13">
        <v>0</v>
      </c>
      <c r="AW130" s="13">
        <v>0</v>
      </c>
      <c r="AX130" s="13">
        <v>7011</v>
      </c>
      <c r="AY130" s="13">
        <v>389.5</v>
      </c>
      <c r="AZ130" s="13">
        <v>0</v>
      </c>
      <c r="BA130" s="13"/>
      <c r="BB130" s="13"/>
      <c r="BC130" s="13">
        <v>-6621.5</v>
      </c>
      <c r="BD130" s="13"/>
      <c r="BE130" s="13" t="s">
        <v>114</v>
      </c>
      <c r="BF130" s="29"/>
      <c r="BG130" s="13"/>
      <c r="BH130" s="13">
        <f>-FAR[[#This Row],[Carrying value (opening balance)]]/FAR[[#This Row],[Opening RUL 30 June 2026]]</f>
        <v>-389.5</v>
      </c>
      <c r="BI130" s="13">
        <f>FAR[[#This Row],[Depreciation YTD]]/12</f>
        <v>-32.458333333333336</v>
      </c>
      <c r="BJ130" s="13"/>
      <c r="BK130" s="13" t="s">
        <v>116</v>
      </c>
      <c r="BL130" s="13">
        <v>0</v>
      </c>
      <c r="BM130" s="13">
        <f>FAR[[#This Row],[Accumulated depreciation (Opening balance)]]+FAR[[#This Row],[Depreciation YTD]]+FAR[[#This Row],[Derecognitions (acc dep) '[+']]]</f>
        <v>-7011</v>
      </c>
      <c r="BN130" s="13"/>
      <c r="BO130" s="13"/>
      <c r="BP130" s="13"/>
      <c r="BQ130" s="13"/>
      <c r="BR13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30" s="13">
        <f>FAR[[#This Row],[Cost Price (closing balance)]]+FAR[[#This Row],[Accumulated depreciation (Closing balance)]]+FAR[[#This Row],[Accumulated impairments (Closing balance)]]</f>
        <v>0</v>
      </c>
      <c r="BT130" s="13"/>
      <c r="BU130" s="13"/>
      <c r="BV130" s="13"/>
      <c r="BW130" s="10" t="s">
        <v>167</v>
      </c>
      <c r="BX130" s="9" t="s">
        <v>168</v>
      </c>
      <c r="BY130" s="10"/>
      <c r="BZ130" t="s">
        <v>984</v>
      </c>
      <c r="CA130"/>
      <c r="CB130" s="34"/>
      <c r="CC130" s="34"/>
      <c r="CD130" s="34"/>
      <c r="CE130" s="141"/>
    </row>
    <row r="131" spans="1:83">
      <c r="A131" s="35" t="s">
        <v>302</v>
      </c>
      <c r="B131" s="9" t="s">
        <v>899</v>
      </c>
      <c r="C131" s="9" t="s">
        <v>54</v>
      </c>
      <c r="D131" s="10" t="s">
        <v>1</v>
      </c>
      <c r="E131" s="9" t="s">
        <v>115</v>
      </c>
      <c r="F131" s="36" t="s">
        <v>99</v>
      </c>
      <c r="G131" s="9" t="s">
        <v>100</v>
      </c>
      <c r="H131" s="3" t="s">
        <v>128</v>
      </c>
      <c r="I131" s="9" t="s">
        <v>100</v>
      </c>
      <c r="J131" s="36" t="s">
        <v>101</v>
      </c>
      <c r="K131" s="10" t="s">
        <v>559</v>
      </c>
      <c r="L131" s="10" t="s">
        <v>559</v>
      </c>
      <c r="M131" s="9" t="s">
        <v>100</v>
      </c>
      <c r="N131" s="10" t="s">
        <v>492</v>
      </c>
      <c r="O131" s="9" t="s">
        <v>100</v>
      </c>
      <c r="P131" s="10"/>
      <c r="Q131" s="10" t="s">
        <v>492</v>
      </c>
      <c r="R131" s="10" t="s">
        <v>119</v>
      </c>
      <c r="S131" s="10" t="s">
        <v>130</v>
      </c>
      <c r="T131" s="10" t="s">
        <v>120</v>
      </c>
      <c r="U131" s="10" t="s">
        <v>101</v>
      </c>
      <c r="V131" s="10" t="s">
        <v>121</v>
      </c>
      <c r="W131" s="10" t="s">
        <v>122</v>
      </c>
      <c r="X131" s="10" t="s">
        <v>123</v>
      </c>
      <c r="Y131" s="29">
        <v>1</v>
      </c>
      <c r="Z131" s="138" t="s">
        <v>579</v>
      </c>
      <c r="AA131" s="138">
        <v>40025</v>
      </c>
      <c r="AB131" s="9" t="s">
        <v>114</v>
      </c>
      <c r="AC131" s="9" t="s">
        <v>124</v>
      </c>
      <c r="AD131" s="15">
        <v>44651</v>
      </c>
      <c r="AE131" s="39" t="s">
        <v>125</v>
      </c>
      <c r="AF131" s="177">
        <v>6</v>
      </c>
      <c r="AG131" s="140">
        <v>0</v>
      </c>
      <c r="AH131" s="9">
        <v>0</v>
      </c>
      <c r="AI131" s="10" t="s">
        <v>126</v>
      </c>
      <c r="AJ131" s="10"/>
      <c r="AK131" s="29"/>
      <c r="AL131" s="12">
        <v>1</v>
      </c>
      <c r="AM131" s="10"/>
      <c r="AN131" s="12">
        <f>FAR[[#This Row],[Opening RUL]]+FAR[[#This Row],[RUL Adjustment]]</f>
        <v>1</v>
      </c>
      <c r="AO131" s="12">
        <f>FAR[[#This Row],[Opening RUL 30 June 2026]]-1</f>
        <v>0</v>
      </c>
      <c r="AP131" s="12" t="s">
        <v>1050</v>
      </c>
      <c r="AQ131" s="139"/>
      <c r="AR131" s="10" t="s">
        <v>127</v>
      </c>
      <c r="AS131" s="13">
        <v>8550</v>
      </c>
      <c r="AT131" s="13"/>
      <c r="AU131" s="13">
        <v>0</v>
      </c>
      <c r="AV131" s="13">
        <v>0</v>
      </c>
      <c r="AW131" s="13">
        <v>0</v>
      </c>
      <c r="AX131" s="13">
        <v>8550</v>
      </c>
      <c r="AY131" s="13">
        <v>475</v>
      </c>
      <c r="AZ131" s="13">
        <v>0</v>
      </c>
      <c r="BA131" s="13"/>
      <c r="BB131" s="13"/>
      <c r="BC131" s="13">
        <v>-8075</v>
      </c>
      <c r="BD131" s="13"/>
      <c r="BE131" s="13" t="s">
        <v>114</v>
      </c>
      <c r="BF131" s="29"/>
      <c r="BG131" s="13"/>
      <c r="BH131" s="13">
        <f>-FAR[[#This Row],[Carrying value (opening balance)]]/FAR[[#This Row],[Opening RUL 30 June 2026]]</f>
        <v>-475</v>
      </c>
      <c r="BI131" s="13">
        <f>FAR[[#This Row],[Depreciation YTD]]/12</f>
        <v>-39.583333333333336</v>
      </c>
      <c r="BJ131" s="13"/>
      <c r="BK131" s="13" t="s">
        <v>116</v>
      </c>
      <c r="BL131" s="13">
        <v>0</v>
      </c>
      <c r="BM131" s="13">
        <f>FAR[[#This Row],[Accumulated depreciation (Opening balance)]]+FAR[[#This Row],[Depreciation YTD]]+FAR[[#This Row],[Derecognitions (acc dep) '[+']]]</f>
        <v>-8550</v>
      </c>
      <c r="BN131" s="13"/>
      <c r="BO131" s="13"/>
      <c r="BP131" s="13"/>
      <c r="BQ131" s="13"/>
      <c r="BR13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31" s="13">
        <f>FAR[[#This Row],[Cost Price (closing balance)]]+FAR[[#This Row],[Accumulated depreciation (Closing balance)]]+FAR[[#This Row],[Accumulated impairments (Closing balance)]]</f>
        <v>0</v>
      </c>
      <c r="BT131" s="13"/>
      <c r="BU131" s="13"/>
      <c r="BV131" s="13"/>
      <c r="BW131" s="10" t="s">
        <v>167</v>
      </c>
      <c r="BX131" s="9" t="s">
        <v>168</v>
      </c>
      <c r="BY131" s="10"/>
      <c r="BZ131" t="s">
        <v>940</v>
      </c>
      <c r="CA131"/>
      <c r="CB131" s="34"/>
      <c r="CC131" s="34"/>
      <c r="CD131" s="34"/>
      <c r="CE131" s="141"/>
    </row>
    <row r="132" spans="1:83">
      <c r="A132" s="35" t="s">
        <v>303</v>
      </c>
      <c r="B132" s="9" t="s">
        <v>888</v>
      </c>
      <c r="C132" s="9" t="s">
        <v>54</v>
      </c>
      <c r="D132" s="10" t="s">
        <v>1</v>
      </c>
      <c r="E132" s="9" t="s">
        <v>115</v>
      </c>
      <c r="F132" s="36" t="s">
        <v>99</v>
      </c>
      <c r="G132" s="9" t="s">
        <v>100</v>
      </c>
      <c r="H132" s="3" t="s">
        <v>128</v>
      </c>
      <c r="I132" s="9" t="s">
        <v>100</v>
      </c>
      <c r="J132" s="36" t="s">
        <v>101</v>
      </c>
      <c r="K132" s="10" t="s">
        <v>559</v>
      </c>
      <c r="L132" s="10" t="s">
        <v>559</v>
      </c>
      <c r="M132" s="9" t="s">
        <v>100</v>
      </c>
      <c r="N132" s="10" t="s">
        <v>489</v>
      </c>
      <c r="O132" s="9" t="s">
        <v>100</v>
      </c>
      <c r="P132" s="10"/>
      <c r="Q132" s="10" t="s">
        <v>489</v>
      </c>
      <c r="R132" s="10" t="s">
        <v>119</v>
      </c>
      <c r="S132" s="10" t="s">
        <v>130</v>
      </c>
      <c r="T132" s="10" t="s">
        <v>120</v>
      </c>
      <c r="U132" s="10" t="s">
        <v>101</v>
      </c>
      <c r="V132" s="10" t="s">
        <v>121</v>
      </c>
      <c r="W132" s="10" t="s">
        <v>122</v>
      </c>
      <c r="X132" s="10" t="s">
        <v>123</v>
      </c>
      <c r="Y132" s="29">
        <v>1</v>
      </c>
      <c r="Z132" s="138" t="s">
        <v>579</v>
      </c>
      <c r="AA132" s="138">
        <v>40025</v>
      </c>
      <c r="AB132" s="9" t="s">
        <v>114</v>
      </c>
      <c r="AC132" s="9" t="s">
        <v>124</v>
      </c>
      <c r="AD132" s="15">
        <v>44651</v>
      </c>
      <c r="AE132" s="39" t="s">
        <v>125</v>
      </c>
      <c r="AF132" s="177">
        <v>6</v>
      </c>
      <c r="AG132" s="140">
        <v>0</v>
      </c>
      <c r="AH132" s="9">
        <v>0</v>
      </c>
      <c r="AI132" s="10" t="s">
        <v>126</v>
      </c>
      <c r="AJ132" s="10"/>
      <c r="AK132" s="29"/>
      <c r="AL132" s="12">
        <v>1</v>
      </c>
      <c r="AM132" s="10"/>
      <c r="AN132" s="12">
        <f>FAR[[#This Row],[Opening RUL]]+FAR[[#This Row],[RUL Adjustment]]</f>
        <v>1</v>
      </c>
      <c r="AO132" s="12">
        <f>FAR[[#This Row],[Opening RUL 30 June 2026]]-1</f>
        <v>0</v>
      </c>
      <c r="AP132" s="12" t="s">
        <v>1050</v>
      </c>
      <c r="AQ132" s="139"/>
      <c r="AR132" s="10" t="s">
        <v>127</v>
      </c>
      <c r="AS132" s="13">
        <v>7011</v>
      </c>
      <c r="AT132" s="13"/>
      <c r="AU132" s="13">
        <v>0</v>
      </c>
      <c r="AV132" s="13">
        <v>0</v>
      </c>
      <c r="AW132" s="13">
        <v>0</v>
      </c>
      <c r="AX132" s="13">
        <v>7011</v>
      </c>
      <c r="AY132" s="13">
        <v>389.5</v>
      </c>
      <c r="AZ132" s="13">
        <v>0</v>
      </c>
      <c r="BA132" s="13"/>
      <c r="BB132" s="13"/>
      <c r="BC132" s="13">
        <v>-6621.5</v>
      </c>
      <c r="BD132" s="13"/>
      <c r="BE132" s="13" t="s">
        <v>114</v>
      </c>
      <c r="BF132" s="29"/>
      <c r="BG132" s="13"/>
      <c r="BH132" s="13">
        <f>-FAR[[#This Row],[Carrying value (opening balance)]]/FAR[[#This Row],[Opening RUL 30 June 2026]]</f>
        <v>-389.5</v>
      </c>
      <c r="BI132" s="13">
        <f>FAR[[#This Row],[Depreciation YTD]]/12</f>
        <v>-32.458333333333336</v>
      </c>
      <c r="BJ132" s="13"/>
      <c r="BK132" s="13" t="s">
        <v>116</v>
      </c>
      <c r="BL132" s="13">
        <v>0</v>
      </c>
      <c r="BM132" s="13">
        <f>FAR[[#This Row],[Accumulated depreciation (Opening balance)]]+FAR[[#This Row],[Depreciation YTD]]+FAR[[#This Row],[Derecognitions (acc dep) '[+']]]</f>
        <v>-7011</v>
      </c>
      <c r="BN132" s="13"/>
      <c r="BO132" s="13"/>
      <c r="BP132" s="13"/>
      <c r="BQ132" s="13"/>
      <c r="BR13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32" s="13">
        <f>FAR[[#This Row],[Cost Price (closing balance)]]+FAR[[#This Row],[Accumulated depreciation (Closing balance)]]+FAR[[#This Row],[Accumulated impairments (Closing balance)]]</f>
        <v>0</v>
      </c>
      <c r="BT132" s="13"/>
      <c r="BU132" s="13"/>
      <c r="BV132" s="13"/>
      <c r="BW132" s="10" t="s">
        <v>167</v>
      </c>
      <c r="BX132" s="9" t="s">
        <v>168</v>
      </c>
      <c r="BY132" s="10"/>
      <c r="BZ132" t="s">
        <v>977</v>
      </c>
      <c r="CA132"/>
      <c r="CB132" s="34"/>
      <c r="CC132" s="34"/>
      <c r="CD132" s="34"/>
      <c r="CE132" s="141"/>
    </row>
    <row r="133" spans="1:83">
      <c r="A133" s="35" t="s">
        <v>304</v>
      </c>
      <c r="B133" s="9" t="s">
        <v>856</v>
      </c>
      <c r="C133" s="9" t="s">
        <v>54</v>
      </c>
      <c r="D133" s="10" t="s">
        <v>1</v>
      </c>
      <c r="E133" s="9" t="s">
        <v>115</v>
      </c>
      <c r="F133" s="36" t="s">
        <v>99</v>
      </c>
      <c r="G133" s="9" t="s">
        <v>100</v>
      </c>
      <c r="H133" s="3" t="s">
        <v>128</v>
      </c>
      <c r="I133" s="9" t="s">
        <v>100</v>
      </c>
      <c r="J133" s="36" t="s">
        <v>101</v>
      </c>
      <c r="K133" s="10" t="s">
        <v>559</v>
      </c>
      <c r="L133" s="10" t="s">
        <v>559</v>
      </c>
      <c r="M133" s="9" t="s">
        <v>100</v>
      </c>
      <c r="N133" s="10" t="s">
        <v>493</v>
      </c>
      <c r="O133" s="9" t="s">
        <v>100</v>
      </c>
      <c r="P133" s="10"/>
      <c r="Q133" s="10" t="s">
        <v>493</v>
      </c>
      <c r="R133" s="10" t="s">
        <v>119</v>
      </c>
      <c r="S133" s="10" t="s">
        <v>130</v>
      </c>
      <c r="T133" s="10" t="s">
        <v>120</v>
      </c>
      <c r="U133" s="10" t="s">
        <v>101</v>
      </c>
      <c r="V133" s="10" t="s">
        <v>121</v>
      </c>
      <c r="W133" s="10" t="s">
        <v>122</v>
      </c>
      <c r="X133" s="10" t="s">
        <v>123</v>
      </c>
      <c r="Y133" s="29">
        <v>1</v>
      </c>
      <c r="Z133" s="138" t="s">
        <v>579</v>
      </c>
      <c r="AA133" s="138">
        <v>40025</v>
      </c>
      <c r="AB133" s="9" t="s">
        <v>114</v>
      </c>
      <c r="AC133" s="9" t="s">
        <v>124</v>
      </c>
      <c r="AD133" s="15">
        <v>44651</v>
      </c>
      <c r="AE133" s="39" t="s">
        <v>125</v>
      </c>
      <c r="AF133" s="177">
        <v>6</v>
      </c>
      <c r="AG133" s="140">
        <v>0</v>
      </c>
      <c r="AH133" s="9">
        <v>0</v>
      </c>
      <c r="AI133" s="10" t="s">
        <v>126</v>
      </c>
      <c r="AJ133" s="10"/>
      <c r="AK133" s="29"/>
      <c r="AL133" s="12">
        <v>1</v>
      </c>
      <c r="AM133" s="10"/>
      <c r="AN133" s="12">
        <f>FAR[[#This Row],[Opening RUL]]+FAR[[#This Row],[RUL Adjustment]]</f>
        <v>1</v>
      </c>
      <c r="AO133" s="12">
        <f>FAR[[#This Row],[Opening RUL 30 June 2026]]-1</f>
        <v>0</v>
      </c>
      <c r="AP133" s="12" t="s">
        <v>1051</v>
      </c>
      <c r="AQ133" s="139"/>
      <c r="AR133" s="10" t="s">
        <v>127</v>
      </c>
      <c r="AS133" s="13">
        <v>14956.8</v>
      </c>
      <c r="AT133" s="13"/>
      <c r="AU133" s="13">
        <v>0</v>
      </c>
      <c r="AV133" s="13">
        <v>0</v>
      </c>
      <c r="AW133" s="13">
        <v>0</v>
      </c>
      <c r="AX133" s="13">
        <v>14956.8</v>
      </c>
      <c r="AY133" s="13">
        <v>830.9333333333343</v>
      </c>
      <c r="AZ133" s="13">
        <v>0</v>
      </c>
      <c r="BA133" s="13"/>
      <c r="BB133" s="13"/>
      <c r="BC133" s="13">
        <v>-14125.866666666665</v>
      </c>
      <c r="BD133" s="13"/>
      <c r="BE133" s="13" t="s">
        <v>114</v>
      </c>
      <c r="BF133" s="29"/>
      <c r="BG133" s="13"/>
      <c r="BH133" s="13">
        <f>-FAR[[#This Row],[Carrying value (opening balance)]]/FAR[[#This Row],[Opening RUL 30 June 2026]]</f>
        <v>-830.9333333333343</v>
      </c>
      <c r="BI133" s="13">
        <f>FAR[[#This Row],[Depreciation YTD]]/12</f>
        <v>-69.244444444444525</v>
      </c>
      <c r="BJ133" s="13"/>
      <c r="BK133" s="13" t="s">
        <v>116</v>
      </c>
      <c r="BL133" s="13">
        <v>0</v>
      </c>
      <c r="BM133" s="13">
        <f>FAR[[#This Row],[Accumulated depreciation (Opening balance)]]+FAR[[#This Row],[Depreciation YTD]]+FAR[[#This Row],[Derecognitions (acc dep) '[+']]]</f>
        <v>-14956.8</v>
      </c>
      <c r="BN133" s="13"/>
      <c r="BO133" s="13"/>
      <c r="BP133" s="13"/>
      <c r="BQ133" s="13"/>
      <c r="BR13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33" s="13">
        <f>FAR[[#This Row],[Cost Price (closing balance)]]+FAR[[#This Row],[Accumulated depreciation (Closing balance)]]+FAR[[#This Row],[Accumulated impairments (Closing balance)]]</f>
        <v>0</v>
      </c>
      <c r="BT133" s="13"/>
      <c r="BU133" s="13"/>
      <c r="BV133" s="13"/>
      <c r="BW133" s="10" t="s">
        <v>167</v>
      </c>
      <c r="BX133" s="9" t="s">
        <v>168</v>
      </c>
      <c r="BY133" s="10"/>
      <c r="BZ133" t="s">
        <v>940</v>
      </c>
      <c r="CA133"/>
      <c r="CB133" s="34"/>
      <c r="CC133" s="34"/>
      <c r="CD133" s="34"/>
      <c r="CE133" s="141"/>
    </row>
    <row r="134" spans="1:83">
      <c r="A134" s="35" t="s">
        <v>305</v>
      </c>
      <c r="B134" s="9" t="s">
        <v>894</v>
      </c>
      <c r="C134" s="9" t="s">
        <v>54</v>
      </c>
      <c r="D134" s="10" t="s">
        <v>1</v>
      </c>
      <c r="E134" s="9" t="s">
        <v>115</v>
      </c>
      <c r="F134" s="36" t="s">
        <v>99</v>
      </c>
      <c r="G134" s="9" t="s">
        <v>100</v>
      </c>
      <c r="H134" s="3" t="s">
        <v>128</v>
      </c>
      <c r="I134" s="9" t="s">
        <v>100</v>
      </c>
      <c r="J134" s="36" t="s">
        <v>101</v>
      </c>
      <c r="K134" s="10" t="s">
        <v>559</v>
      </c>
      <c r="L134" s="10" t="s">
        <v>559</v>
      </c>
      <c r="M134" s="9" t="s">
        <v>100</v>
      </c>
      <c r="N134" s="10" t="s">
        <v>489</v>
      </c>
      <c r="O134" s="9" t="s">
        <v>100</v>
      </c>
      <c r="P134" s="10"/>
      <c r="Q134" s="10" t="s">
        <v>489</v>
      </c>
      <c r="R134" s="10" t="s">
        <v>119</v>
      </c>
      <c r="S134" s="10" t="s">
        <v>130</v>
      </c>
      <c r="T134" s="10" t="s">
        <v>120</v>
      </c>
      <c r="U134" s="10" t="s">
        <v>101</v>
      </c>
      <c r="V134" s="10" t="s">
        <v>121</v>
      </c>
      <c r="W134" s="10" t="s">
        <v>122</v>
      </c>
      <c r="X134" s="10" t="s">
        <v>123</v>
      </c>
      <c r="Y134" s="29">
        <v>1</v>
      </c>
      <c r="Z134" s="138" t="s">
        <v>579</v>
      </c>
      <c r="AA134" s="138">
        <v>40025</v>
      </c>
      <c r="AB134" s="9" t="s">
        <v>114</v>
      </c>
      <c r="AC134" s="9" t="s">
        <v>124</v>
      </c>
      <c r="AD134" s="15">
        <v>44651</v>
      </c>
      <c r="AE134" s="39" t="s">
        <v>125</v>
      </c>
      <c r="AF134" s="177">
        <v>6</v>
      </c>
      <c r="AG134" s="140">
        <v>0</v>
      </c>
      <c r="AH134" s="9">
        <v>0</v>
      </c>
      <c r="AI134" s="10" t="s">
        <v>126</v>
      </c>
      <c r="AJ134" s="10"/>
      <c r="AK134" s="29"/>
      <c r="AL134" s="12">
        <v>1</v>
      </c>
      <c r="AM134" s="10"/>
      <c r="AN134" s="12">
        <f>FAR[[#This Row],[Opening RUL]]+FAR[[#This Row],[RUL Adjustment]]</f>
        <v>1</v>
      </c>
      <c r="AO134" s="12">
        <f>FAR[[#This Row],[Opening RUL 30 June 2026]]-1</f>
        <v>0</v>
      </c>
      <c r="AP134" s="12" t="s">
        <v>1050</v>
      </c>
      <c r="AQ134" s="139"/>
      <c r="AR134" s="10" t="s">
        <v>127</v>
      </c>
      <c r="AS134" s="13">
        <v>3505.5</v>
      </c>
      <c r="AT134" s="13"/>
      <c r="AU134" s="13">
        <v>0</v>
      </c>
      <c r="AV134" s="13">
        <v>0</v>
      </c>
      <c r="AW134" s="13">
        <v>0</v>
      </c>
      <c r="AX134" s="13">
        <v>3505.5</v>
      </c>
      <c r="AY134" s="13">
        <v>194.75</v>
      </c>
      <c r="AZ134" s="13">
        <v>0</v>
      </c>
      <c r="BA134" s="13"/>
      <c r="BB134" s="13"/>
      <c r="BC134" s="13">
        <v>-3310.75</v>
      </c>
      <c r="BD134" s="13"/>
      <c r="BE134" s="13" t="s">
        <v>114</v>
      </c>
      <c r="BF134" s="29"/>
      <c r="BG134" s="13"/>
      <c r="BH134" s="13">
        <f>-FAR[[#This Row],[Carrying value (opening balance)]]/FAR[[#This Row],[Opening RUL 30 June 2026]]</f>
        <v>-194.75</v>
      </c>
      <c r="BI134" s="13">
        <f>FAR[[#This Row],[Depreciation YTD]]/12</f>
        <v>-16.229166666666668</v>
      </c>
      <c r="BJ134" s="13"/>
      <c r="BK134" s="13" t="s">
        <v>116</v>
      </c>
      <c r="BL134" s="13">
        <v>0</v>
      </c>
      <c r="BM134" s="13">
        <f>FAR[[#This Row],[Accumulated depreciation (Opening balance)]]+FAR[[#This Row],[Depreciation YTD]]+FAR[[#This Row],[Derecognitions (acc dep) '[+']]]</f>
        <v>-3505.5</v>
      </c>
      <c r="BN134" s="13"/>
      <c r="BO134" s="13"/>
      <c r="BP134" s="13"/>
      <c r="BQ134" s="13"/>
      <c r="BR13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34" s="13">
        <f>FAR[[#This Row],[Cost Price (closing balance)]]+FAR[[#This Row],[Accumulated depreciation (Closing balance)]]+FAR[[#This Row],[Accumulated impairments (Closing balance)]]</f>
        <v>0</v>
      </c>
      <c r="BT134" s="13"/>
      <c r="BU134" s="13"/>
      <c r="BV134" s="13"/>
      <c r="BW134" s="10" t="s">
        <v>167</v>
      </c>
      <c r="BX134" s="9" t="s">
        <v>168</v>
      </c>
      <c r="BY134" s="10"/>
      <c r="BZ134" t="s">
        <v>987</v>
      </c>
      <c r="CA134"/>
      <c r="CB134" s="34"/>
      <c r="CC134" s="34"/>
      <c r="CD134" s="34"/>
      <c r="CE134" s="141"/>
    </row>
    <row r="135" spans="1:83">
      <c r="A135" s="35" t="s">
        <v>306</v>
      </c>
      <c r="B135" s="9" t="s">
        <v>900</v>
      </c>
      <c r="C135" s="9" t="s">
        <v>54</v>
      </c>
      <c r="D135" s="10" t="s">
        <v>1</v>
      </c>
      <c r="E135" s="9" t="s">
        <v>115</v>
      </c>
      <c r="F135" s="36" t="s">
        <v>99</v>
      </c>
      <c r="G135" s="9" t="s">
        <v>100</v>
      </c>
      <c r="H135" s="3" t="s">
        <v>128</v>
      </c>
      <c r="I135" s="9" t="s">
        <v>100</v>
      </c>
      <c r="J135" s="36" t="s">
        <v>101</v>
      </c>
      <c r="K135" s="10" t="s">
        <v>559</v>
      </c>
      <c r="L135" s="10" t="s">
        <v>559</v>
      </c>
      <c r="M135" s="9" t="s">
        <v>100</v>
      </c>
      <c r="N135" s="10" t="s">
        <v>494</v>
      </c>
      <c r="O135" s="9" t="s">
        <v>100</v>
      </c>
      <c r="P135" s="10"/>
      <c r="Q135" s="10" t="s">
        <v>494</v>
      </c>
      <c r="R135" s="10" t="s">
        <v>119</v>
      </c>
      <c r="S135" s="10" t="s">
        <v>130</v>
      </c>
      <c r="T135" s="10" t="s">
        <v>120</v>
      </c>
      <c r="U135" s="10" t="s">
        <v>101</v>
      </c>
      <c r="V135" s="10" t="s">
        <v>121</v>
      </c>
      <c r="W135" s="10" t="s">
        <v>122</v>
      </c>
      <c r="X135" s="10" t="s">
        <v>123</v>
      </c>
      <c r="Y135" s="29">
        <v>1</v>
      </c>
      <c r="Z135" s="138" t="s">
        <v>575</v>
      </c>
      <c r="AA135" s="138">
        <v>39259</v>
      </c>
      <c r="AB135" s="9" t="s">
        <v>114</v>
      </c>
      <c r="AC135" s="9" t="s">
        <v>124</v>
      </c>
      <c r="AD135" s="15">
        <v>44651</v>
      </c>
      <c r="AE135" s="39" t="s">
        <v>125</v>
      </c>
      <c r="AF135" s="177">
        <v>6</v>
      </c>
      <c r="AG135" s="140">
        <v>0</v>
      </c>
      <c r="AH135" s="9">
        <v>0</v>
      </c>
      <c r="AI135" s="10" t="s">
        <v>126</v>
      </c>
      <c r="AJ135" s="10"/>
      <c r="AK135" s="29"/>
      <c r="AL135" s="12">
        <v>1</v>
      </c>
      <c r="AM135" s="10"/>
      <c r="AN135" s="12">
        <f>FAR[[#This Row],[Opening RUL]]+FAR[[#This Row],[RUL Adjustment]]</f>
        <v>1</v>
      </c>
      <c r="AO135" s="12">
        <f>FAR[[#This Row],[Opening RUL 30 June 2026]]-1</f>
        <v>0</v>
      </c>
      <c r="AP135" s="12" t="s">
        <v>1052</v>
      </c>
      <c r="AQ135" s="139"/>
      <c r="AR135" s="10" t="s">
        <v>127</v>
      </c>
      <c r="AS135" s="13">
        <v>3967.63</v>
      </c>
      <c r="AT135" s="13"/>
      <c r="AU135" s="13">
        <v>0</v>
      </c>
      <c r="AV135" s="13">
        <v>0</v>
      </c>
      <c r="AW135" s="13">
        <v>0</v>
      </c>
      <c r="AX135" s="13">
        <v>3967.63</v>
      </c>
      <c r="AY135" s="13">
        <v>220.42388888888854</v>
      </c>
      <c r="AZ135" s="13">
        <v>0</v>
      </c>
      <c r="BA135" s="13"/>
      <c r="BB135" s="13"/>
      <c r="BC135" s="13">
        <v>-3747.2061111111116</v>
      </c>
      <c r="BD135" s="13"/>
      <c r="BE135" s="13" t="s">
        <v>114</v>
      </c>
      <c r="BF135" s="29"/>
      <c r="BG135" s="13"/>
      <c r="BH135" s="13">
        <f>-FAR[[#This Row],[Carrying value (opening balance)]]/FAR[[#This Row],[Opening RUL 30 June 2026]]</f>
        <v>-220.42388888888854</v>
      </c>
      <c r="BI135" s="13">
        <f>FAR[[#This Row],[Depreciation YTD]]/12</f>
        <v>-18.36865740740738</v>
      </c>
      <c r="BJ135" s="13"/>
      <c r="BK135" s="13" t="s">
        <v>116</v>
      </c>
      <c r="BL135" s="13">
        <v>0</v>
      </c>
      <c r="BM135" s="13">
        <f>FAR[[#This Row],[Accumulated depreciation (Opening balance)]]+FAR[[#This Row],[Depreciation YTD]]+FAR[[#This Row],[Derecognitions (acc dep) '[+']]]</f>
        <v>-3967.63</v>
      </c>
      <c r="BN135" s="13"/>
      <c r="BO135" s="13"/>
      <c r="BP135" s="13"/>
      <c r="BQ135" s="13"/>
      <c r="BR13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35" s="13">
        <f>FAR[[#This Row],[Cost Price (closing balance)]]+FAR[[#This Row],[Accumulated depreciation (Closing balance)]]+FAR[[#This Row],[Accumulated impairments (Closing balance)]]</f>
        <v>0</v>
      </c>
      <c r="BT135" s="13"/>
      <c r="BU135" s="13"/>
      <c r="BV135" s="13"/>
      <c r="BW135" s="10" t="s">
        <v>167</v>
      </c>
      <c r="BX135" s="9" t="s">
        <v>168</v>
      </c>
      <c r="BY135" s="10"/>
      <c r="BZ135" t="s">
        <v>988</v>
      </c>
      <c r="CA135"/>
      <c r="CB135" s="34"/>
      <c r="CC135" s="34"/>
      <c r="CD135" s="34"/>
      <c r="CE135" s="141"/>
    </row>
    <row r="136" spans="1:83">
      <c r="A136" s="35" t="s">
        <v>307</v>
      </c>
      <c r="B136" s="9" t="s">
        <v>901</v>
      </c>
      <c r="C136" s="9" t="s">
        <v>54</v>
      </c>
      <c r="D136" s="10" t="s">
        <v>1</v>
      </c>
      <c r="E136" s="9" t="s">
        <v>115</v>
      </c>
      <c r="F136" s="36" t="s">
        <v>99</v>
      </c>
      <c r="G136" s="9" t="s">
        <v>100</v>
      </c>
      <c r="H136" s="3" t="s">
        <v>128</v>
      </c>
      <c r="I136" s="9" t="s">
        <v>100</v>
      </c>
      <c r="J136" s="36" t="s">
        <v>101</v>
      </c>
      <c r="K136" s="10" t="s">
        <v>559</v>
      </c>
      <c r="L136" s="10" t="s">
        <v>559</v>
      </c>
      <c r="M136" s="9" t="s">
        <v>100</v>
      </c>
      <c r="N136" s="10" t="s">
        <v>469</v>
      </c>
      <c r="O136" s="9" t="s">
        <v>100</v>
      </c>
      <c r="P136" s="10"/>
      <c r="Q136" s="10" t="s">
        <v>469</v>
      </c>
      <c r="R136" s="10" t="s">
        <v>119</v>
      </c>
      <c r="S136" s="10" t="s">
        <v>130</v>
      </c>
      <c r="T136" s="10" t="s">
        <v>120</v>
      </c>
      <c r="U136" s="10" t="s">
        <v>101</v>
      </c>
      <c r="V136" s="10" t="s">
        <v>121</v>
      </c>
      <c r="W136" s="10" t="s">
        <v>122</v>
      </c>
      <c r="X136" s="10" t="s">
        <v>123</v>
      </c>
      <c r="Y136" s="29">
        <v>1</v>
      </c>
      <c r="Z136" s="138" t="s">
        <v>575</v>
      </c>
      <c r="AA136" s="138">
        <v>39259</v>
      </c>
      <c r="AB136" s="9" t="s">
        <v>114</v>
      </c>
      <c r="AC136" s="9" t="s">
        <v>124</v>
      </c>
      <c r="AD136" s="15">
        <v>44651</v>
      </c>
      <c r="AE136" s="39" t="s">
        <v>125</v>
      </c>
      <c r="AF136" s="177">
        <v>6</v>
      </c>
      <c r="AG136" s="140">
        <v>0</v>
      </c>
      <c r="AH136" s="9">
        <v>0</v>
      </c>
      <c r="AI136" s="10" t="s">
        <v>126</v>
      </c>
      <c r="AJ136" s="10"/>
      <c r="AK136" s="29"/>
      <c r="AL136" s="12">
        <v>1</v>
      </c>
      <c r="AM136" s="10"/>
      <c r="AN136" s="12">
        <f>FAR[[#This Row],[Opening RUL]]+FAR[[#This Row],[RUL Adjustment]]</f>
        <v>1</v>
      </c>
      <c r="AO136" s="12">
        <f>FAR[[#This Row],[Opening RUL 30 June 2026]]-1</f>
        <v>0</v>
      </c>
      <c r="AP136" s="12" t="s">
        <v>1050</v>
      </c>
      <c r="AQ136" s="139"/>
      <c r="AR136" s="10" t="s">
        <v>127</v>
      </c>
      <c r="AS136" s="13">
        <v>3967.64</v>
      </c>
      <c r="AT136" s="13"/>
      <c r="AU136" s="13">
        <v>0</v>
      </c>
      <c r="AV136" s="13">
        <v>0</v>
      </c>
      <c r="AW136" s="13">
        <v>0</v>
      </c>
      <c r="AX136" s="13">
        <v>3967.64</v>
      </c>
      <c r="AY136" s="13">
        <v>220.42444444444436</v>
      </c>
      <c r="AZ136" s="13">
        <v>0</v>
      </c>
      <c r="BA136" s="13"/>
      <c r="BB136" s="13"/>
      <c r="BC136" s="13">
        <v>-3747.2155555555555</v>
      </c>
      <c r="BD136" s="13"/>
      <c r="BE136" s="13" t="s">
        <v>114</v>
      </c>
      <c r="BF136" s="29"/>
      <c r="BG136" s="13"/>
      <c r="BH136" s="13">
        <f>-FAR[[#This Row],[Carrying value (opening balance)]]/FAR[[#This Row],[Opening RUL 30 June 2026]]</f>
        <v>-220.42444444444436</v>
      </c>
      <c r="BI136" s="13">
        <f>FAR[[#This Row],[Depreciation YTD]]/12</f>
        <v>-18.368703703703698</v>
      </c>
      <c r="BJ136" s="13"/>
      <c r="BK136" s="13" t="s">
        <v>116</v>
      </c>
      <c r="BL136" s="13">
        <v>0</v>
      </c>
      <c r="BM136" s="13">
        <f>FAR[[#This Row],[Accumulated depreciation (Opening balance)]]+FAR[[#This Row],[Depreciation YTD]]+FAR[[#This Row],[Derecognitions (acc dep) '[+']]]</f>
        <v>-3967.64</v>
      </c>
      <c r="BN136" s="13"/>
      <c r="BO136" s="13"/>
      <c r="BP136" s="13"/>
      <c r="BQ136" s="13"/>
      <c r="BR13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36" s="13">
        <f>FAR[[#This Row],[Cost Price (closing balance)]]+FAR[[#This Row],[Accumulated depreciation (Closing balance)]]+FAR[[#This Row],[Accumulated impairments (Closing balance)]]</f>
        <v>0</v>
      </c>
      <c r="BT136" s="13"/>
      <c r="BU136" s="13"/>
      <c r="BV136" s="13"/>
      <c r="BW136" s="10" t="s">
        <v>167</v>
      </c>
      <c r="BX136" s="9" t="s">
        <v>168</v>
      </c>
      <c r="BY136" s="10"/>
      <c r="BZ136" t="s">
        <v>989</v>
      </c>
      <c r="CA136"/>
      <c r="CB136" s="34"/>
      <c r="CC136" s="34"/>
      <c r="CD136" s="34"/>
      <c r="CE136" s="141"/>
    </row>
    <row r="137" spans="1:83">
      <c r="A137" s="35" t="s">
        <v>308</v>
      </c>
      <c r="B137" s="9" t="s">
        <v>868</v>
      </c>
      <c r="C137" s="9" t="s">
        <v>54</v>
      </c>
      <c r="D137" s="10" t="s">
        <v>1</v>
      </c>
      <c r="E137" s="9" t="s">
        <v>115</v>
      </c>
      <c r="F137" s="36" t="s">
        <v>99</v>
      </c>
      <c r="G137" s="9" t="s">
        <v>100</v>
      </c>
      <c r="H137" s="3" t="s">
        <v>128</v>
      </c>
      <c r="I137" s="9" t="s">
        <v>100</v>
      </c>
      <c r="J137" s="36" t="s">
        <v>101</v>
      </c>
      <c r="K137" s="10" t="s">
        <v>559</v>
      </c>
      <c r="L137" s="10" t="s">
        <v>559</v>
      </c>
      <c r="M137" s="9" t="s">
        <v>100</v>
      </c>
      <c r="N137" s="10" t="s">
        <v>469</v>
      </c>
      <c r="O137" s="9" t="s">
        <v>100</v>
      </c>
      <c r="P137" s="10"/>
      <c r="Q137" s="10" t="s">
        <v>469</v>
      </c>
      <c r="R137" s="10" t="s">
        <v>119</v>
      </c>
      <c r="S137" s="10" t="s">
        <v>130</v>
      </c>
      <c r="T137" s="10" t="s">
        <v>120</v>
      </c>
      <c r="U137" s="10" t="s">
        <v>101</v>
      </c>
      <c r="V137" s="10" t="s">
        <v>121</v>
      </c>
      <c r="W137" s="10" t="s">
        <v>122</v>
      </c>
      <c r="X137" s="10" t="s">
        <v>123</v>
      </c>
      <c r="Y137" s="29">
        <v>1</v>
      </c>
      <c r="Z137" s="138" t="s">
        <v>575</v>
      </c>
      <c r="AA137" s="138">
        <v>39259</v>
      </c>
      <c r="AB137" s="9" t="s">
        <v>114</v>
      </c>
      <c r="AC137" s="9" t="s">
        <v>124</v>
      </c>
      <c r="AD137" s="15">
        <v>44651</v>
      </c>
      <c r="AE137" s="39" t="s">
        <v>125</v>
      </c>
      <c r="AF137" s="177">
        <v>6</v>
      </c>
      <c r="AG137" s="140">
        <v>0</v>
      </c>
      <c r="AH137" s="9">
        <v>0</v>
      </c>
      <c r="AI137" s="10" t="s">
        <v>126</v>
      </c>
      <c r="AJ137" s="10"/>
      <c r="AK137" s="29"/>
      <c r="AL137" s="12">
        <v>1</v>
      </c>
      <c r="AM137" s="10"/>
      <c r="AN137" s="12">
        <f>FAR[[#This Row],[Opening RUL]]+FAR[[#This Row],[RUL Adjustment]]</f>
        <v>1</v>
      </c>
      <c r="AO137" s="12">
        <f>FAR[[#This Row],[Opening RUL 30 June 2026]]-1</f>
        <v>0</v>
      </c>
      <c r="AP137" s="12" t="s">
        <v>1050</v>
      </c>
      <c r="AQ137" s="139"/>
      <c r="AR137" s="10" t="s">
        <v>127</v>
      </c>
      <c r="AS137" s="13">
        <v>3967.64</v>
      </c>
      <c r="AT137" s="13"/>
      <c r="AU137" s="13">
        <v>0</v>
      </c>
      <c r="AV137" s="13">
        <v>0</v>
      </c>
      <c r="AW137" s="13">
        <v>0</v>
      </c>
      <c r="AX137" s="13">
        <v>3967.64</v>
      </c>
      <c r="AY137" s="13">
        <v>220.42444444444436</v>
      </c>
      <c r="AZ137" s="13">
        <v>0</v>
      </c>
      <c r="BA137" s="13"/>
      <c r="BB137" s="13"/>
      <c r="BC137" s="13">
        <v>-3747.2155555555555</v>
      </c>
      <c r="BD137" s="13"/>
      <c r="BE137" s="13" t="s">
        <v>114</v>
      </c>
      <c r="BF137" s="29"/>
      <c r="BG137" s="13"/>
      <c r="BH137" s="13">
        <f>-FAR[[#This Row],[Carrying value (opening balance)]]/FAR[[#This Row],[Opening RUL 30 June 2026]]</f>
        <v>-220.42444444444436</v>
      </c>
      <c r="BI137" s="13">
        <f>FAR[[#This Row],[Depreciation YTD]]/12</f>
        <v>-18.368703703703698</v>
      </c>
      <c r="BJ137" s="13"/>
      <c r="BK137" s="13" t="s">
        <v>116</v>
      </c>
      <c r="BL137" s="13">
        <v>0</v>
      </c>
      <c r="BM137" s="13">
        <f>FAR[[#This Row],[Accumulated depreciation (Opening balance)]]+FAR[[#This Row],[Depreciation YTD]]+FAR[[#This Row],[Derecognitions (acc dep) '[+']]]</f>
        <v>-3967.64</v>
      </c>
      <c r="BN137" s="13"/>
      <c r="BO137" s="13"/>
      <c r="BP137" s="13"/>
      <c r="BQ137" s="13"/>
      <c r="BR13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37" s="13">
        <f>FAR[[#This Row],[Cost Price (closing balance)]]+FAR[[#This Row],[Accumulated depreciation (Closing balance)]]+FAR[[#This Row],[Accumulated impairments (Closing balance)]]</f>
        <v>0</v>
      </c>
      <c r="BT137" s="13"/>
      <c r="BU137" s="13"/>
      <c r="BV137" s="13"/>
      <c r="BW137" s="10" t="s">
        <v>167</v>
      </c>
      <c r="BX137" s="9" t="s">
        <v>168</v>
      </c>
      <c r="BY137" s="10"/>
      <c r="BZ137" t="s">
        <v>961</v>
      </c>
      <c r="CA137"/>
      <c r="CB137" s="34"/>
      <c r="CC137" s="34"/>
      <c r="CD137" s="34"/>
      <c r="CE137" s="141"/>
    </row>
    <row r="138" spans="1:83">
      <c r="A138" s="35" t="s">
        <v>309</v>
      </c>
      <c r="B138" s="9" t="s">
        <v>873</v>
      </c>
      <c r="C138" s="9" t="s">
        <v>54</v>
      </c>
      <c r="D138" s="10" t="s">
        <v>1</v>
      </c>
      <c r="E138" s="9" t="s">
        <v>115</v>
      </c>
      <c r="F138" s="36" t="s">
        <v>99</v>
      </c>
      <c r="G138" s="9" t="s">
        <v>100</v>
      </c>
      <c r="H138" s="3" t="s">
        <v>128</v>
      </c>
      <c r="I138" s="9" t="s">
        <v>100</v>
      </c>
      <c r="J138" s="36" t="s">
        <v>101</v>
      </c>
      <c r="K138" s="10" t="s">
        <v>559</v>
      </c>
      <c r="L138" s="10" t="s">
        <v>559</v>
      </c>
      <c r="M138" s="9" t="s">
        <v>100</v>
      </c>
      <c r="N138" s="10" t="s">
        <v>469</v>
      </c>
      <c r="O138" s="9" t="s">
        <v>100</v>
      </c>
      <c r="P138" s="10"/>
      <c r="Q138" s="10" t="s">
        <v>469</v>
      </c>
      <c r="R138" s="10" t="s">
        <v>119</v>
      </c>
      <c r="S138" s="10" t="s">
        <v>130</v>
      </c>
      <c r="T138" s="10" t="s">
        <v>120</v>
      </c>
      <c r="U138" s="10" t="s">
        <v>101</v>
      </c>
      <c r="V138" s="10" t="s">
        <v>121</v>
      </c>
      <c r="W138" s="10" t="s">
        <v>122</v>
      </c>
      <c r="X138" s="10" t="s">
        <v>123</v>
      </c>
      <c r="Y138" s="29">
        <v>1</v>
      </c>
      <c r="Z138" s="138" t="s">
        <v>575</v>
      </c>
      <c r="AA138" s="138">
        <v>39259</v>
      </c>
      <c r="AB138" s="9" t="s">
        <v>114</v>
      </c>
      <c r="AC138" s="9" t="s">
        <v>124</v>
      </c>
      <c r="AD138" s="15">
        <v>44651</v>
      </c>
      <c r="AE138" s="39" t="s">
        <v>125</v>
      </c>
      <c r="AF138" s="177">
        <v>6</v>
      </c>
      <c r="AG138" s="140">
        <v>0</v>
      </c>
      <c r="AH138" s="9">
        <v>0</v>
      </c>
      <c r="AI138" s="10" t="s">
        <v>126</v>
      </c>
      <c r="AJ138" s="10"/>
      <c r="AK138" s="29"/>
      <c r="AL138" s="12">
        <v>1</v>
      </c>
      <c r="AM138" s="10"/>
      <c r="AN138" s="12">
        <f>FAR[[#This Row],[Opening RUL]]+FAR[[#This Row],[RUL Adjustment]]</f>
        <v>1</v>
      </c>
      <c r="AO138" s="12">
        <f>FAR[[#This Row],[Opening RUL 30 June 2026]]-1</f>
        <v>0</v>
      </c>
      <c r="AP138" s="12" t="s">
        <v>1050</v>
      </c>
      <c r="AQ138" s="139"/>
      <c r="AR138" s="10" t="s">
        <v>127</v>
      </c>
      <c r="AS138" s="13">
        <v>3967.64</v>
      </c>
      <c r="AT138" s="13"/>
      <c r="AU138" s="13">
        <v>0</v>
      </c>
      <c r="AV138" s="13">
        <v>0</v>
      </c>
      <c r="AW138" s="13">
        <v>0</v>
      </c>
      <c r="AX138" s="13">
        <v>3967.64</v>
      </c>
      <c r="AY138" s="13">
        <v>220.42444444444436</v>
      </c>
      <c r="AZ138" s="13">
        <v>0</v>
      </c>
      <c r="BA138" s="13"/>
      <c r="BB138" s="13"/>
      <c r="BC138" s="13">
        <v>-3747.2155555555555</v>
      </c>
      <c r="BD138" s="13"/>
      <c r="BE138" s="13" t="s">
        <v>114</v>
      </c>
      <c r="BF138" s="29"/>
      <c r="BG138" s="13"/>
      <c r="BH138" s="13">
        <f>-FAR[[#This Row],[Carrying value (opening balance)]]/FAR[[#This Row],[Opening RUL 30 June 2026]]</f>
        <v>-220.42444444444436</v>
      </c>
      <c r="BI138" s="13">
        <f>FAR[[#This Row],[Depreciation YTD]]/12</f>
        <v>-18.368703703703698</v>
      </c>
      <c r="BJ138" s="13"/>
      <c r="BK138" s="13" t="s">
        <v>116</v>
      </c>
      <c r="BL138" s="13">
        <v>0</v>
      </c>
      <c r="BM138" s="13">
        <f>FAR[[#This Row],[Accumulated depreciation (Opening balance)]]+FAR[[#This Row],[Depreciation YTD]]+FAR[[#This Row],[Derecognitions (acc dep) '[+']]]</f>
        <v>-3967.64</v>
      </c>
      <c r="BN138" s="13"/>
      <c r="BO138" s="13"/>
      <c r="BP138" s="13"/>
      <c r="BQ138" s="13"/>
      <c r="BR13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38" s="13">
        <f>FAR[[#This Row],[Cost Price (closing balance)]]+FAR[[#This Row],[Accumulated depreciation (Closing balance)]]+FAR[[#This Row],[Accumulated impairments (Closing balance)]]</f>
        <v>0</v>
      </c>
      <c r="BT138" s="13"/>
      <c r="BU138" s="13"/>
      <c r="BV138" s="13"/>
      <c r="BW138" s="10" t="s">
        <v>167</v>
      </c>
      <c r="BX138" s="9" t="s">
        <v>168</v>
      </c>
      <c r="BY138" s="10"/>
      <c r="BZ138" t="s">
        <v>957</v>
      </c>
      <c r="CA138"/>
      <c r="CB138" s="34"/>
      <c r="CC138" s="34"/>
      <c r="CD138" s="34"/>
      <c r="CE138" s="141"/>
    </row>
    <row r="139" spans="1:83">
      <c r="A139" s="35" t="s">
        <v>310</v>
      </c>
      <c r="B139" s="9" t="s">
        <v>902</v>
      </c>
      <c r="C139" s="9" t="s">
        <v>54</v>
      </c>
      <c r="D139" s="10" t="s">
        <v>1</v>
      </c>
      <c r="E139" s="9" t="s">
        <v>115</v>
      </c>
      <c r="F139" s="36" t="s">
        <v>99</v>
      </c>
      <c r="G139" s="9" t="s">
        <v>100</v>
      </c>
      <c r="H139" s="3" t="s">
        <v>128</v>
      </c>
      <c r="I139" s="9" t="s">
        <v>100</v>
      </c>
      <c r="J139" s="36" t="s">
        <v>101</v>
      </c>
      <c r="K139" s="10" t="s">
        <v>559</v>
      </c>
      <c r="L139" s="10" t="s">
        <v>559</v>
      </c>
      <c r="M139" s="9" t="s">
        <v>100</v>
      </c>
      <c r="N139" s="10" t="s">
        <v>469</v>
      </c>
      <c r="O139" s="9" t="s">
        <v>100</v>
      </c>
      <c r="P139" s="10"/>
      <c r="Q139" s="10" t="s">
        <v>469</v>
      </c>
      <c r="R139" s="10" t="s">
        <v>119</v>
      </c>
      <c r="S139" s="10" t="s">
        <v>130</v>
      </c>
      <c r="T139" s="10" t="s">
        <v>120</v>
      </c>
      <c r="U139" s="10" t="s">
        <v>101</v>
      </c>
      <c r="V139" s="10" t="s">
        <v>121</v>
      </c>
      <c r="W139" s="10" t="s">
        <v>122</v>
      </c>
      <c r="X139" s="10" t="s">
        <v>123</v>
      </c>
      <c r="Y139" s="29">
        <v>1</v>
      </c>
      <c r="Z139" s="138" t="s">
        <v>575</v>
      </c>
      <c r="AA139" s="138">
        <v>39259</v>
      </c>
      <c r="AB139" s="9" t="s">
        <v>114</v>
      </c>
      <c r="AC139" s="9" t="s">
        <v>124</v>
      </c>
      <c r="AD139" s="15">
        <v>44651</v>
      </c>
      <c r="AE139" s="39" t="s">
        <v>125</v>
      </c>
      <c r="AF139" s="177">
        <v>6</v>
      </c>
      <c r="AG139" s="140">
        <v>0</v>
      </c>
      <c r="AH139" s="9">
        <v>0</v>
      </c>
      <c r="AI139" s="10" t="s">
        <v>126</v>
      </c>
      <c r="AJ139" s="10"/>
      <c r="AK139" s="29"/>
      <c r="AL139" s="12">
        <v>1</v>
      </c>
      <c r="AM139" s="10"/>
      <c r="AN139" s="12">
        <f>FAR[[#This Row],[Opening RUL]]+FAR[[#This Row],[RUL Adjustment]]</f>
        <v>1</v>
      </c>
      <c r="AO139" s="12">
        <f>FAR[[#This Row],[Opening RUL 30 June 2026]]-1</f>
        <v>0</v>
      </c>
      <c r="AP139" s="12" t="s">
        <v>1050</v>
      </c>
      <c r="AQ139" s="139"/>
      <c r="AR139" s="10" t="s">
        <v>127</v>
      </c>
      <c r="AS139" s="13">
        <v>3967.64</v>
      </c>
      <c r="AT139" s="13"/>
      <c r="AU139" s="13">
        <v>0</v>
      </c>
      <c r="AV139" s="13">
        <v>0</v>
      </c>
      <c r="AW139" s="13">
        <v>0</v>
      </c>
      <c r="AX139" s="13">
        <v>3967.64</v>
      </c>
      <c r="AY139" s="13">
        <v>220.42444444444436</v>
      </c>
      <c r="AZ139" s="13">
        <v>0</v>
      </c>
      <c r="BA139" s="13"/>
      <c r="BB139" s="13"/>
      <c r="BC139" s="13">
        <v>-3747.2155555555555</v>
      </c>
      <c r="BD139" s="13"/>
      <c r="BE139" s="13" t="s">
        <v>114</v>
      </c>
      <c r="BF139" s="29"/>
      <c r="BG139" s="13"/>
      <c r="BH139" s="13">
        <f>-FAR[[#This Row],[Carrying value (opening balance)]]/FAR[[#This Row],[Opening RUL 30 June 2026]]</f>
        <v>-220.42444444444436</v>
      </c>
      <c r="BI139" s="13">
        <f>FAR[[#This Row],[Depreciation YTD]]/12</f>
        <v>-18.368703703703698</v>
      </c>
      <c r="BJ139" s="13"/>
      <c r="BK139" s="13" t="s">
        <v>116</v>
      </c>
      <c r="BL139" s="13">
        <v>0</v>
      </c>
      <c r="BM139" s="13">
        <f>FAR[[#This Row],[Accumulated depreciation (Opening balance)]]+FAR[[#This Row],[Depreciation YTD]]+FAR[[#This Row],[Derecognitions (acc dep) '[+']]]</f>
        <v>-3967.64</v>
      </c>
      <c r="BN139" s="13"/>
      <c r="BO139" s="13"/>
      <c r="BP139" s="13"/>
      <c r="BQ139" s="13"/>
      <c r="BR13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39" s="13">
        <f>FAR[[#This Row],[Cost Price (closing balance)]]+FAR[[#This Row],[Accumulated depreciation (Closing balance)]]+FAR[[#This Row],[Accumulated impairments (Closing balance)]]</f>
        <v>0</v>
      </c>
      <c r="BT139" s="13"/>
      <c r="BU139" s="13"/>
      <c r="BV139" s="13"/>
      <c r="BW139" s="10" t="s">
        <v>167</v>
      </c>
      <c r="BX139" s="9" t="s">
        <v>168</v>
      </c>
      <c r="BY139" s="10"/>
      <c r="BZ139" t="s">
        <v>990</v>
      </c>
      <c r="CA139"/>
      <c r="CB139" s="34"/>
      <c r="CC139" s="34"/>
      <c r="CD139" s="34"/>
      <c r="CE139" s="141"/>
    </row>
    <row r="140" spans="1:83">
      <c r="A140" s="35" t="s">
        <v>311</v>
      </c>
      <c r="B140" s="9" t="s">
        <v>886</v>
      </c>
      <c r="C140" s="9" t="s">
        <v>54</v>
      </c>
      <c r="D140" s="10" t="s">
        <v>1</v>
      </c>
      <c r="E140" s="9" t="s">
        <v>115</v>
      </c>
      <c r="F140" s="36" t="s">
        <v>99</v>
      </c>
      <c r="G140" s="9" t="s">
        <v>100</v>
      </c>
      <c r="H140" s="3" t="s">
        <v>128</v>
      </c>
      <c r="I140" s="9" t="s">
        <v>100</v>
      </c>
      <c r="J140" s="36" t="s">
        <v>101</v>
      </c>
      <c r="K140" s="10" t="s">
        <v>559</v>
      </c>
      <c r="L140" s="10" t="s">
        <v>559</v>
      </c>
      <c r="M140" s="9" t="s">
        <v>100</v>
      </c>
      <c r="N140" s="10" t="s">
        <v>494</v>
      </c>
      <c r="O140" s="9" t="s">
        <v>100</v>
      </c>
      <c r="P140" s="10"/>
      <c r="Q140" s="10" t="s">
        <v>494</v>
      </c>
      <c r="R140" s="10" t="s">
        <v>119</v>
      </c>
      <c r="S140" s="10" t="s">
        <v>130</v>
      </c>
      <c r="T140" s="10" t="s">
        <v>120</v>
      </c>
      <c r="U140" s="10" t="s">
        <v>101</v>
      </c>
      <c r="V140" s="10" t="s">
        <v>121</v>
      </c>
      <c r="W140" s="10" t="s">
        <v>122</v>
      </c>
      <c r="X140" s="10" t="s">
        <v>123</v>
      </c>
      <c r="Y140" s="29">
        <v>1</v>
      </c>
      <c r="Z140" s="138" t="s">
        <v>575</v>
      </c>
      <c r="AA140" s="138">
        <v>39259</v>
      </c>
      <c r="AB140" s="9" t="s">
        <v>114</v>
      </c>
      <c r="AC140" s="9" t="s">
        <v>124</v>
      </c>
      <c r="AD140" s="15">
        <v>44651</v>
      </c>
      <c r="AE140" s="39" t="s">
        <v>125</v>
      </c>
      <c r="AF140" s="177">
        <v>6</v>
      </c>
      <c r="AG140" s="140">
        <v>0</v>
      </c>
      <c r="AH140" s="9">
        <v>0</v>
      </c>
      <c r="AI140" s="10" t="s">
        <v>126</v>
      </c>
      <c r="AJ140" s="10"/>
      <c r="AK140" s="29"/>
      <c r="AL140" s="12">
        <v>1</v>
      </c>
      <c r="AM140" s="10"/>
      <c r="AN140" s="12">
        <f>FAR[[#This Row],[Opening RUL]]+FAR[[#This Row],[RUL Adjustment]]</f>
        <v>1</v>
      </c>
      <c r="AO140" s="12">
        <f>FAR[[#This Row],[Opening RUL 30 June 2026]]-1</f>
        <v>0</v>
      </c>
      <c r="AP140" s="12" t="s">
        <v>1050</v>
      </c>
      <c r="AQ140" s="139"/>
      <c r="AR140" s="10" t="s">
        <v>127</v>
      </c>
      <c r="AS140" s="13">
        <v>3967.63</v>
      </c>
      <c r="AT140" s="13"/>
      <c r="AU140" s="13">
        <v>0</v>
      </c>
      <c r="AV140" s="13">
        <v>0</v>
      </c>
      <c r="AW140" s="13">
        <v>0</v>
      </c>
      <c r="AX140" s="13">
        <v>3967.63</v>
      </c>
      <c r="AY140" s="13">
        <v>220.42388888888854</v>
      </c>
      <c r="AZ140" s="13">
        <v>0</v>
      </c>
      <c r="BA140" s="13"/>
      <c r="BB140" s="13"/>
      <c r="BC140" s="13">
        <v>-3747.2061111111116</v>
      </c>
      <c r="BD140" s="13"/>
      <c r="BE140" s="13" t="s">
        <v>114</v>
      </c>
      <c r="BF140" s="29"/>
      <c r="BG140" s="13"/>
      <c r="BH140" s="13">
        <f>-FAR[[#This Row],[Carrying value (opening balance)]]/FAR[[#This Row],[Opening RUL 30 June 2026]]</f>
        <v>-220.42388888888854</v>
      </c>
      <c r="BI140" s="13">
        <f>FAR[[#This Row],[Depreciation YTD]]/12</f>
        <v>-18.36865740740738</v>
      </c>
      <c r="BJ140" s="13"/>
      <c r="BK140" s="13" t="s">
        <v>116</v>
      </c>
      <c r="BL140" s="13">
        <v>0</v>
      </c>
      <c r="BM140" s="13">
        <f>FAR[[#This Row],[Accumulated depreciation (Opening balance)]]+FAR[[#This Row],[Depreciation YTD]]+FAR[[#This Row],[Derecognitions (acc dep) '[+']]]</f>
        <v>-3967.63</v>
      </c>
      <c r="BN140" s="13"/>
      <c r="BO140" s="13"/>
      <c r="BP140" s="13"/>
      <c r="BQ140" s="13"/>
      <c r="BR14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40" s="13">
        <f>FAR[[#This Row],[Cost Price (closing balance)]]+FAR[[#This Row],[Accumulated depreciation (Closing balance)]]+FAR[[#This Row],[Accumulated impairments (Closing balance)]]</f>
        <v>0</v>
      </c>
      <c r="BT140" s="13"/>
      <c r="BU140" s="13"/>
      <c r="BV140" s="13"/>
      <c r="BW140" s="10" t="s">
        <v>167</v>
      </c>
      <c r="BX140" s="9" t="s">
        <v>168</v>
      </c>
      <c r="BY140" s="10"/>
      <c r="BZ140" t="s">
        <v>991</v>
      </c>
      <c r="CA140"/>
      <c r="CB140" s="34"/>
      <c r="CC140" s="34"/>
      <c r="CD140" s="34"/>
      <c r="CE140" s="141"/>
    </row>
    <row r="141" spans="1:83">
      <c r="A141" s="35" t="s">
        <v>312</v>
      </c>
      <c r="B141" s="9" t="s">
        <v>864</v>
      </c>
      <c r="C141" s="9" t="s">
        <v>54</v>
      </c>
      <c r="D141" s="10" t="s">
        <v>1</v>
      </c>
      <c r="E141" s="9" t="s">
        <v>115</v>
      </c>
      <c r="F141" s="36" t="s">
        <v>99</v>
      </c>
      <c r="G141" s="9" t="s">
        <v>100</v>
      </c>
      <c r="H141" s="3" t="s">
        <v>128</v>
      </c>
      <c r="I141" s="9" t="s">
        <v>100</v>
      </c>
      <c r="J141" s="36" t="s">
        <v>101</v>
      </c>
      <c r="K141" s="10" t="s">
        <v>559</v>
      </c>
      <c r="L141" s="10" t="s">
        <v>559</v>
      </c>
      <c r="M141" s="9" t="s">
        <v>100</v>
      </c>
      <c r="N141" s="10" t="s">
        <v>495</v>
      </c>
      <c r="O141" s="9" t="s">
        <v>100</v>
      </c>
      <c r="P141" s="10"/>
      <c r="Q141" s="10" t="s">
        <v>495</v>
      </c>
      <c r="R141" s="10" t="s">
        <v>119</v>
      </c>
      <c r="S141" s="10" t="s">
        <v>130</v>
      </c>
      <c r="T141" s="10" t="s">
        <v>120</v>
      </c>
      <c r="U141" s="10" t="s">
        <v>101</v>
      </c>
      <c r="V141" s="10" t="s">
        <v>121</v>
      </c>
      <c r="W141" s="10" t="s">
        <v>122</v>
      </c>
      <c r="X141" s="10" t="s">
        <v>123</v>
      </c>
      <c r="Y141" s="29">
        <v>1</v>
      </c>
      <c r="Z141" s="138" t="s">
        <v>571</v>
      </c>
      <c r="AA141" s="138">
        <v>39304</v>
      </c>
      <c r="AB141" s="9" t="s">
        <v>114</v>
      </c>
      <c r="AC141" s="9" t="s">
        <v>124</v>
      </c>
      <c r="AD141" s="15">
        <v>44651</v>
      </c>
      <c r="AE141" s="39" t="s">
        <v>125</v>
      </c>
      <c r="AF141" s="177">
        <v>6</v>
      </c>
      <c r="AG141" s="140">
        <v>0</v>
      </c>
      <c r="AH141" s="9">
        <v>0</v>
      </c>
      <c r="AI141" s="10" t="s">
        <v>126</v>
      </c>
      <c r="AJ141" s="10"/>
      <c r="AK141" s="29"/>
      <c r="AL141" s="12">
        <v>1</v>
      </c>
      <c r="AM141" s="10"/>
      <c r="AN141" s="12">
        <f>FAR[[#This Row],[Opening RUL]]+FAR[[#This Row],[RUL Adjustment]]</f>
        <v>1</v>
      </c>
      <c r="AO141" s="12">
        <f>FAR[[#This Row],[Opening RUL 30 June 2026]]-1</f>
        <v>0</v>
      </c>
      <c r="AP141" s="12" t="s">
        <v>1050</v>
      </c>
      <c r="AQ141" s="139"/>
      <c r="AR141" s="10" t="s">
        <v>127</v>
      </c>
      <c r="AS141" s="13">
        <v>810.18</v>
      </c>
      <c r="AT141" s="13"/>
      <c r="AU141" s="13">
        <v>0</v>
      </c>
      <c r="AV141" s="13">
        <v>0</v>
      </c>
      <c r="AW141" s="13">
        <v>0</v>
      </c>
      <c r="AX141" s="13">
        <v>810.18</v>
      </c>
      <c r="AY141" s="13">
        <v>45.009999999999991</v>
      </c>
      <c r="AZ141" s="13">
        <v>0</v>
      </c>
      <c r="BA141" s="13"/>
      <c r="BB141" s="13"/>
      <c r="BC141" s="13">
        <v>-765.17</v>
      </c>
      <c r="BD141" s="13"/>
      <c r="BE141" s="13" t="s">
        <v>114</v>
      </c>
      <c r="BF141" s="29"/>
      <c r="BG141" s="13"/>
      <c r="BH141" s="13">
        <f>-FAR[[#This Row],[Carrying value (opening balance)]]/FAR[[#This Row],[Opening RUL 30 June 2026]]</f>
        <v>-45.009999999999991</v>
      </c>
      <c r="BI141" s="13">
        <f>FAR[[#This Row],[Depreciation YTD]]/12</f>
        <v>-3.7508333333333326</v>
      </c>
      <c r="BJ141" s="13"/>
      <c r="BK141" s="13" t="s">
        <v>116</v>
      </c>
      <c r="BL141" s="13">
        <v>0</v>
      </c>
      <c r="BM141" s="13">
        <f>FAR[[#This Row],[Accumulated depreciation (Opening balance)]]+FAR[[#This Row],[Depreciation YTD]]+FAR[[#This Row],[Derecognitions (acc dep) '[+']]]</f>
        <v>-810.18</v>
      </c>
      <c r="BN141" s="13"/>
      <c r="BO141" s="13"/>
      <c r="BP141" s="13"/>
      <c r="BQ141" s="13"/>
      <c r="BR14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41" s="13">
        <f>FAR[[#This Row],[Cost Price (closing balance)]]+FAR[[#This Row],[Accumulated depreciation (Closing balance)]]+FAR[[#This Row],[Accumulated impairments (Closing balance)]]</f>
        <v>0</v>
      </c>
      <c r="BT141" s="13"/>
      <c r="BU141" s="13"/>
      <c r="BV141" s="13"/>
      <c r="BW141" s="10" t="s">
        <v>167</v>
      </c>
      <c r="BX141" s="9" t="s">
        <v>168</v>
      </c>
      <c r="BY141" s="10"/>
      <c r="BZ141" t="s">
        <v>948</v>
      </c>
      <c r="CA141"/>
      <c r="CB141" s="34"/>
      <c r="CC141" s="34"/>
      <c r="CD141" s="34"/>
      <c r="CE141" s="141"/>
    </row>
    <row r="142" spans="1:83">
      <c r="A142" s="35" t="s">
        <v>313</v>
      </c>
      <c r="B142" s="9" t="s">
        <v>874</v>
      </c>
      <c r="C142" s="9" t="s">
        <v>54</v>
      </c>
      <c r="D142" s="10" t="s">
        <v>1</v>
      </c>
      <c r="E142" s="9" t="s">
        <v>115</v>
      </c>
      <c r="F142" s="36" t="s">
        <v>99</v>
      </c>
      <c r="G142" s="9" t="s">
        <v>100</v>
      </c>
      <c r="H142" s="3" t="s">
        <v>128</v>
      </c>
      <c r="I142" s="9" t="s">
        <v>100</v>
      </c>
      <c r="J142" s="36" t="s">
        <v>101</v>
      </c>
      <c r="K142" s="10" t="s">
        <v>559</v>
      </c>
      <c r="L142" s="10" t="s">
        <v>559</v>
      </c>
      <c r="M142" s="9" t="s">
        <v>100</v>
      </c>
      <c r="N142" s="10" t="s">
        <v>496</v>
      </c>
      <c r="O142" s="9" t="s">
        <v>100</v>
      </c>
      <c r="P142" s="10"/>
      <c r="Q142" s="10" t="s">
        <v>496</v>
      </c>
      <c r="R142" s="10" t="s">
        <v>119</v>
      </c>
      <c r="S142" s="10" t="s">
        <v>130</v>
      </c>
      <c r="T142" s="10" t="s">
        <v>120</v>
      </c>
      <c r="U142" s="10" t="s">
        <v>101</v>
      </c>
      <c r="V142" s="10" t="s">
        <v>121</v>
      </c>
      <c r="W142" s="10" t="s">
        <v>122</v>
      </c>
      <c r="X142" s="10" t="s">
        <v>123</v>
      </c>
      <c r="Y142" s="29">
        <v>1</v>
      </c>
      <c r="Z142" s="138" t="s">
        <v>561</v>
      </c>
      <c r="AA142" s="138">
        <v>38071</v>
      </c>
      <c r="AB142" s="9" t="s">
        <v>114</v>
      </c>
      <c r="AC142" s="9" t="s">
        <v>124</v>
      </c>
      <c r="AD142" s="15">
        <v>44651</v>
      </c>
      <c r="AE142" s="39" t="s">
        <v>125</v>
      </c>
      <c r="AF142" s="177">
        <v>6</v>
      </c>
      <c r="AG142" s="140">
        <v>0</v>
      </c>
      <c r="AH142" s="9">
        <v>0</v>
      </c>
      <c r="AI142" s="10" t="s">
        <v>126</v>
      </c>
      <c r="AJ142" s="10"/>
      <c r="AK142" s="29"/>
      <c r="AL142" s="12">
        <v>1</v>
      </c>
      <c r="AM142" s="10"/>
      <c r="AN142" s="12">
        <f>FAR[[#This Row],[Opening RUL]]+FAR[[#This Row],[RUL Adjustment]]</f>
        <v>1</v>
      </c>
      <c r="AO142" s="12">
        <f>FAR[[#This Row],[Opening RUL 30 June 2026]]-1</f>
        <v>0</v>
      </c>
      <c r="AP142" s="12" t="s">
        <v>1050</v>
      </c>
      <c r="AQ142" s="139"/>
      <c r="AR142" s="10" t="s">
        <v>127</v>
      </c>
      <c r="AS142" s="13">
        <v>5198.3999999999996</v>
      </c>
      <c r="AT142" s="13"/>
      <c r="AU142" s="13">
        <v>0</v>
      </c>
      <c r="AV142" s="13">
        <v>0</v>
      </c>
      <c r="AW142" s="13">
        <v>0</v>
      </c>
      <c r="AX142" s="13">
        <v>5198.3999999999996</v>
      </c>
      <c r="AY142" s="13">
        <v>288.79999999999927</v>
      </c>
      <c r="AZ142" s="13">
        <v>0</v>
      </c>
      <c r="BA142" s="13"/>
      <c r="BB142" s="13"/>
      <c r="BC142" s="13">
        <v>-4909.6000000000004</v>
      </c>
      <c r="BD142" s="13"/>
      <c r="BE142" s="13" t="s">
        <v>114</v>
      </c>
      <c r="BF142" s="29"/>
      <c r="BG142" s="13"/>
      <c r="BH142" s="13">
        <f>-FAR[[#This Row],[Carrying value (opening balance)]]/FAR[[#This Row],[Opening RUL 30 June 2026]]</f>
        <v>-288.79999999999927</v>
      </c>
      <c r="BI142" s="13">
        <f>FAR[[#This Row],[Depreciation YTD]]/12</f>
        <v>-24.066666666666606</v>
      </c>
      <c r="BJ142" s="13"/>
      <c r="BK142" s="13" t="s">
        <v>116</v>
      </c>
      <c r="BL142" s="13">
        <v>0</v>
      </c>
      <c r="BM142" s="13">
        <f>FAR[[#This Row],[Accumulated depreciation (Opening balance)]]+FAR[[#This Row],[Depreciation YTD]]+FAR[[#This Row],[Derecognitions (acc dep) '[+']]]</f>
        <v>-5198.3999999999996</v>
      </c>
      <c r="BN142" s="13"/>
      <c r="BO142" s="13"/>
      <c r="BP142" s="13"/>
      <c r="BQ142" s="13"/>
      <c r="BR14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42" s="13">
        <f>FAR[[#This Row],[Cost Price (closing balance)]]+FAR[[#This Row],[Accumulated depreciation (Closing balance)]]+FAR[[#This Row],[Accumulated impairments (Closing balance)]]</f>
        <v>0</v>
      </c>
      <c r="BT142" s="13"/>
      <c r="BU142" s="13"/>
      <c r="BV142" s="13"/>
      <c r="BW142" s="10" t="s">
        <v>167</v>
      </c>
      <c r="BX142" s="9" t="s">
        <v>168</v>
      </c>
      <c r="BY142" s="10"/>
      <c r="BZ142" t="s">
        <v>976</v>
      </c>
      <c r="CA142"/>
      <c r="CB142" s="34"/>
      <c r="CC142" s="34"/>
      <c r="CD142" s="34"/>
      <c r="CE142" s="141"/>
    </row>
    <row r="143" spans="1:83">
      <c r="A143" s="35" t="s">
        <v>314</v>
      </c>
      <c r="B143" s="9" t="s">
        <v>873</v>
      </c>
      <c r="C143" s="9" t="s">
        <v>54</v>
      </c>
      <c r="D143" s="10" t="s">
        <v>1</v>
      </c>
      <c r="E143" s="9" t="s">
        <v>115</v>
      </c>
      <c r="F143" s="36" t="s">
        <v>99</v>
      </c>
      <c r="G143" s="9" t="s">
        <v>100</v>
      </c>
      <c r="H143" s="3" t="s">
        <v>128</v>
      </c>
      <c r="I143" s="9" t="s">
        <v>100</v>
      </c>
      <c r="J143" s="36" t="s">
        <v>101</v>
      </c>
      <c r="K143" s="10" t="s">
        <v>559</v>
      </c>
      <c r="L143" s="10" t="s">
        <v>559</v>
      </c>
      <c r="M143" s="9" t="s">
        <v>100</v>
      </c>
      <c r="N143" s="10" t="s">
        <v>469</v>
      </c>
      <c r="O143" s="9" t="s">
        <v>100</v>
      </c>
      <c r="P143" s="10"/>
      <c r="Q143" s="10" t="s">
        <v>469</v>
      </c>
      <c r="R143" s="10" t="s">
        <v>119</v>
      </c>
      <c r="S143" s="10" t="s">
        <v>130</v>
      </c>
      <c r="T143" s="10" t="s">
        <v>120</v>
      </c>
      <c r="U143" s="10" t="s">
        <v>101</v>
      </c>
      <c r="V143" s="10" t="s">
        <v>121</v>
      </c>
      <c r="W143" s="10" t="s">
        <v>122</v>
      </c>
      <c r="X143" s="10" t="s">
        <v>123</v>
      </c>
      <c r="Y143" s="29">
        <v>1</v>
      </c>
      <c r="Z143" s="138" t="s">
        <v>580</v>
      </c>
      <c r="AA143" s="138">
        <v>38098</v>
      </c>
      <c r="AB143" s="9" t="s">
        <v>114</v>
      </c>
      <c r="AC143" s="9" t="s">
        <v>124</v>
      </c>
      <c r="AD143" s="15">
        <v>44651</v>
      </c>
      <c r="AE143" s="39" t="s">
        <v>125</v>
      </c>
      <c r="AF143" s="177">
        <v>6</v>
      </c>
      <c r="AG143" s="140">
        <v>0</v>
      </c>
      <c r="AH143" s="9">
        <v>0</v>
      </c>
      <c r="AI143" s="10" t="s">
        <v>126</v>
      </c>
      <c r="AJ143" s="10"/>
      <c r="AK143" s="29"/>
      <c r="AL143" s="12">
        <v>1</v>
      </c>
      <c r="AM143" s="10"/>
      <c r="AN143" s="12">
        <f>FAR[[#This Row],[Opening RUL]]+FAR[[#This Row],[RUL Adjustment]]</f>
        <v>1</v>
      </c>
      <c r="AO143" s="12">
        <f>FAR[[#This Row],[Opening RUL 30 June 2026]]-1</f>
        <v>0</v>
      </c>
      <c r="AP143" s="12" t="s">
        <v>1051</v>
      </c>
      <c r="AQ143" s="139"/>
      <c r="AR143" s="10" t="s">
        <v>127</v>
      </c>
      <c r="AS143" s="13">
        <v>2850</v>
      </c>
      <c r="AT143" s="13"/>
      <c r="AU143" s="13">
        <v>0</v>
      </c>
      <c r="AV143" s="13">
        <v>0</v>
      </c>
      <c r="AW143" s="13">
        <v>0</v>
      </c>
      <c r="AX143" s="13">
        <v>2850</v>
      </c>
      <c r="AY143" s="13">
        <v>158.33333333333303</v>
      </c>
      <c r="AZ143" s="13">
        <v>0</v>
      </c>
      <c r="BA143" s="13"/>
      <c r="BB143" s="13"/>
      <c r="BC143" s="13">
        <v>-2691.666666666667</v>
      </c>
      <c r="BD143" s="13"/>
      <c r="BE143" s="13" t="s">
        <v>114</v>
      </c>
      <c r="BF143" s="29"/>
      <c r="BG143" s="13"/>
      <c r="BH143" s="13">
        <f>-FAR[[#This Row],[Carrying value (opening balance)]]/FAR[[#This Row],[Opening RUL 30 June 2026]]</f>
        <v>-158.33333333333303</v>
      </c>
      <c r="BI143" s="13">
        <f>FAR[[#This Row],[Depreciation YTD]]/12</f>
        <v>-13.19444444444442</v>
      </c>
      <c r="BJ143" s="13"/>
      <c r="BK143" s="13" t="s">
        <v>116</v>
      </c>
      <c r="BL143" s="13">
        <v>0</v>
      </c>
      <c r="BM143" s="13">
        <f>FAR[[#This Row],[Accumulated depreciation (Opening balance)]]+FAR[[#This Row],[Depreciation YTD]]+FAR[[#This Row],[Derecognitions (acc dep) '[+']]]</f>
        <v>-2850</v>
      </c>
      <c r="BN143" s="13"/>
      <c r="BO143" s="13"/>
      <c r="BP143" s="13"/>
      <c r="BQ143" s="13"/>
      <c r="BR14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43" s="13">
        <f>FAR[[#This Row],[Cost Price (closing balance)]]+FAR[[#This Row],[Accumulated depreciation (Closing balance)]]+FAR[[#This Row],[Accumulated impairments (Closing balance)]]</f>
        <v>0</v>
      </c>
      <c r="BT143" s="13"/>
      <c r="BU143" s="13"/>
      <c r="BV143" s="13"/>
      <c r="BW143" s="10" t="s">
        <v>167</v>
      </c>
      <c r="BX143" s="9" t="s">
        <v>168</v>
      </c>
      <c r="BY143" s="10"/>
      <c r="BZ143" t="s">
        <v>992</v>
      </c>
      <c r="CA143"/>
      <c r="CB143" s="34"/>
      <c r="CC143" s="34"/>
      <c r="CD143" s="34"/>
      <c r="CE143" s="141"/>
    </row>
    <row r="144" spans="1:83">
      <c r="A144" s="35" t="s">
        <v>315</v>
      </c>
      <c r="B144" s="9" t="s">
        <v>866</v>
      </c>
      <c r="C144" s="9" t="s">
        <v>54</v>
      </c>
      <c r="D144" s="10" t="s">
        <v>1</v>
      </c>
      <c r="E144" s="9" t="s">
        <v>115</v>
      </c>
      <c r="F144" s="36" t="s">
        <v>99</v>
      </c>
      <c r="G144" s="9" t="s">
        <v>100</v>
      </c>
      <c r="H144" s="3" t="s">
        <v>128</v>
      </c>
      <c r="I144" s="9" t="s">
        <v>100</v>
      </c>
      <c r="J144" s="36" t="s">
        <v>101</v>
      </c>
      <c r="K144" s="10" t="s">
        <v>559</v>
      </c>
      <c r="L144" s="10" t="s">
        <v>559</v>
      </c>
      <c r="M144" s="9" t="s">
        <v>100</v>
      </c>
      <c r="N144" s="10" t="s">
        <v>494</v>
      </c>
      <c r="O144" s="9" t="s">
        <v>100</v>
      </c>
      <c r="P144" s="10"/>
      <c r="Q144" s="10" t="s">
        <v>494</v>
      </c>
      <c r="R144" s="10" t="s">
        <v>119</v>
      </c>
      <c r="S144" s="10" t="s">
        <v>130</v>
      </c>
      <c r="T144" s="10" t="s">
        <v>120</v>
      </c>
      <c r="U144" s="10" t="s">
        <v>101</v>
      </c>
      <c r="V144" s="10" t="s">
        <v>121</v>
      </c>
      <c r="W144" s="10" t="s">
        <v>122</v>
      </c>
      <c r="X144" s="10" t="s">
        <v>123</v>
      </c>
      <c r="Y144" s="29">
        <v>1</v>
      </c>
      <c r="Z144" s="138" t="s">
        <v>561</v>
      </c>
      <c r="AA144" s="138">
        <v>38071</v>
      </c>
      <c r="AB144" s="9" t="s">
        <v>114</v>
      </c>
      <c r="AC144" s="9" t="s">
        <v>124</v>
      </c>
      <c r="AD144" s="15">
        <v>44651</v>
      </c>
      <c r="AE144" s="39" t="s">
        <v>125</v>
      </c>
      <c r="AF144" s="177">
        <v>6</v>
      </c>
      <c r="AG144" s="140">
        <v>0</v>
      </c>
      <c r="AH144" s="9">
        <v>0</v>
      </c>
      <c r="AI144" s="10" t="s">
        <v>126</v>
      </c>
      <c r="AJ144" s="10"/>
      <c r="AK144" s="29"/>
      <c r="AL144" s="12">
        <v>1</v>
      </c>
      <c r="AM144" s="10"/>
      <c r="AN144" s="12">
        <f>FAR[[#This Row],[Opening RUL]]+FAR[[#This Row],[RUL Adjustment]]</f>
        <v>1</v>
      </c>
      <c r="AO144" s="12">
        <f>FAR[[#This Row],[Opening RUL 30 June 2026]]-1</f>
        <v>0</v>
      </c>
      <c r="AP144" s="12" t="s">
        <v>1051</v>
      </c>
      <c r="AQ144" s="139"/>
      <c r="AR144" s="10" t="s">
        <v>127</v>
      </c>
      <c r="AS144" s="13">
        <v>1515.44</v>
      </c>
      <c r="AT144" s="13"/>
      <c r="AU144" s="13">
        <v>0</v>
      </c>
      <c r="AV144" s="13">
        <v>0</v>
      </c>
      <c r="AW144" s="13">
        <v>0</v>
      </c>
      <c r="AX144" s="13">
        <v>1515.44</v>
      </c>
      <c r="AY144" s="13">
        <v>84.19111111111124</v>
      </c>
      <c r="AZ144" s="13">
        <v>0</v>
      </c>
      <c r="BA144" s="13"/>
      <c r="BB144" s="13"/>
      <c r="BC144" s="13">
        <v>-1431.2488888888888</v>
      </c>
      <c r="BD144" s="13"/>
      <c r="BE144" s="13" t="s">
        <v>114</v>
      </c>
      <c r="BF144" s="29"/>
      <c r="BG144" s="13"/>
      <c r="BH144" s="13">
        <f>-FAR[[#This Row],[Carrying value (opening balance)]]/FAR[[#This Row],[Opening RUL 30 June 2026]]</f>
        <v>-84.19111111111124</v>
      </c>
      <c r="BI144" s="13">
        <f>FAR[[#This Row],[Depreciation YTD]]/12</f>
        <v>-7.015925925925937</v>
      </c>
      <c r="BJ144" s="13"/>
      <c r="BK144" s="13" t="s">
        <v>116</v>
      </c>
      <c r="BL144" s="13">
        <v>0</v>
      </c>
      <c r="BM144" s="13">
        <f>FAR[[#This Row],[Accumulated depreciation (Opening balance)]]+FAR[[#This Row],[Depreciation YTD]]+FAR[[#This Row],[Derecognitions (acc dep) '[+']]]</f>
        <v>-1515.44</v>
      </c>
      <c r="BN144" s="13"/>
      <c r="BO144" s="13"/>
      <c r="BP144" s="13"/>
      <c r="BQ144" s="13"/>
      <c r="BR14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44" s="13">
        <f>FAR[[#This Row],[Cost Price (closing balance)]]+FAR[[#This Row],[Accumulated depreciation (Closing balance)]]+FAR[[#This Row],[Accumulated impairments (Closing balance)]]</f>
        <v>0</v>
      </c>
      <c r="BT144" s="13"/>
      <c r="BU144" s="13"/>
      <c r="BV144" s="13"/>
      <c r="BW144" s="10" t="s">
        <v>167</v>
      </c>
      <c r="BX144" s="9" t="s">
        <v>168</v>
      </c>
      <c r="BY144" s="10"/>
      <c r="BZ144" t="s">
        <v>985</v>
      </c>
      <c r="CA144"/>
      <c r="CB144" s="34"/>
      <c r="CC144" s="34"/>
      <c r="CD144" s="34"/>
      <c r="CE144" s="141"/>
    </row>
    <row r="145" spans="1:83">
      <c r="A145" s="35" t="s">
        <v>316</v>
      </c>
      <c r="B145" s="9" t="s">
        <v>902</v>
      </c>
      <c r="C145" s="9" t="s">
        <v>54</v>
      </c>
      <c r="D145" s="10" t="s">
        <v>1</v>
      </c>
      <c r="E145" s="9" t="s">
        <v>115</v>
      </c>
      <c r="F145" s="36" t="s">
        <v>99</v>
      </c>
      <c r="G145" s="9" t="s">
        <v>100</v>
      </c>
      <c r="H145" s="3" t="s">
        <v>128</v>
      </c>
      <c r="I145" s="9" t="s">
        <v>100</v>
      </c>
      <c r="J145" s="36" t="s">
        <v>101</v>
      </c>
      <c r="K145" s="10" t="s">
        <v>559</v>
      </c>
      <c r="L145" s="10" t="s">
        <v>559</v>
      </c>
      <c r="M145" s="9" t="s">
        <v>100</v>
      </c>
      <c r="N145" s="10" t="s">
        <v>497</v>
      </c>
      <c r="O145" s="9" t="s">
        <v>100</v>
      </c>
      <c r="P145" s="10"/>
      <c r="Q145" s="10" t="s">
        <v>497</v>
      </c>
      <c r="R145" s="10" t="s">
        <v>119</v>
      </c>
      <c r="S145" s="10" t="s">
        <v>130</v>
      </c>
      <c r="T145" s="10" t="s">
        <v>120</v>
      </c>
      <c r="U145" s="10" t="s">
        <v>101</v>
      </c>
      <c r="V145" s="10" t="s">
        <v>121</v>
      </c>
      <c r="W145" s="10" t="s">
        <v>122</v>
      </c>
      <c r="X145" s="10" t="s">
        <v>123</v>
      </c>
      <c r="Y145" s="29">
        <v>1</v>
      </c>
      <c r="Z145" s="138" t="s">
        <v>561</v>
      </c>
      <c r="AA145" s="138">
        <v>38071</v>
      </c>
      <c r="AB145" s="9" t="s">
        <v>114</v>
      </c>
      <c r="AC145" s="9" t="s">
        <v>124</v>
      </c>
      <c r="AD145" s="15">
        <v>44651</v>
      </c>
      <c r="AE145" s="39" t="s">
        <v>125</v>
      </c>
      <c r="AF145" s="177">
        <v>6</v>
      </c>
      <c r="AG145" s="140">
        <v>0</v>
      </c>
      <c r="AH145" s="9">
        <v>0</v>
      </c>
      <c r="AI145" s="10" t="s">
        <v>126</v>
      </c>
      <c r="AJ145" s="10"/>
      <c r="AK145" s="29"/>
      <c r="AL145" s="12">
        <v>1</v>
      </c>
      <c r="AM145" s="10"/>
      <c r="AN145" s="12">
        <f>FAR[[#This Row],[Opening RUL]]+FAR[[#This Row],[RUL Adjustment]]</f>
        <v>1</v>
      </c>
      <c r="AO145" s="12">
        <f>FAR[[#This Row],[Opening RUL 30 June 2026]]-1</f>
        <v>0</v>
      </c>
      <c r="AP145" s="12" t="s">
        <v>1050</v>
      </c>
      <c r="AQ145" s="139"/>
      <c r="AR145" s="10" t="s">
        <v>127</v>
      </c>
      <c r="AS145" s="13">
        <v>1515.44</v>
      </c>
      <c r="AT145" s="13"/>
      <c r="AU145" s="13">
        <v>0</v>
      </c>
      <c r="AV145" s="13">
        <v>0</v>
      </c>
      <c r="AW145" s="13">
        <v>0</v>
      </c>
      <c r="AX145" s="13">
        <v>1515.44</v>
      </c>
      <c r="AY145" s="13">
        <v>84.19111111111124</v>
      </c>
      <c r="AZ145" s="13">
        <v>0</v>
      </c>
      <c r="BA145" s="13"/>
      <c r="BB145" s="13"/>
      <c r="BC145" s="13">
        <v>-1431.2488888888888</v>
      </c>
      <c r="BD145" s="13"/>
      <c r="BE145" s="13" t="s">
        <v>114</v>
      </c>
      <c r="BF145" s="29"/>
      <c r="BG145" s="13"/>
      <c r="BH145" s="13">
        <f>-FAR[[#This Row],[Carrying value (opening balance)]]/FAR[[#This Row],[Opening RUL 30 June 2026]]</f>
        <v>-84.19111111111124</v>
      </c>
      <c r="BI145" s="13">
        <f>FAR[[#This Row],[Depreciation YTD]]/12</f>
        <v>-7.015925925925937</v>
      </c>
      <c r="BJ145" s="13"/>
      <c r="BK145" s="13" t="s">
        <v>116</v>
      </c>
      <c r="BL145" s="13">
        <v>0</v>
      </c>
      <c r="BM145" s="13">
        <f>FAR[[#This Row],[Accumulated depreciation (Opening balance)]]+FAR[[#This Row],[Depreciation YTD]]+FAR[[#This Row],[Derecognitions (acc dep) '[+']]]</f>
        <v>-1515.44</v>
      </c>
      <c r="BN145" s="13"/>
      <c r="BO145" s="13"/>
      <c r="BP145" s="13"/>
      <c r="BQ145" s="13"/>
      <c r="BR14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45" s="13">
        <f>FAR[[#This Row],[Cost Price (closing balance)]]+FAR[[#This Row],[Accumulated depreciation (Closing balance)]]+FAR[[#This Row],[Accumulated impairments (Closing balance)]]</f>
        <v>0</v>
      </c>
      <c r="BT145" s="13"/>
      <c r="BU145" s="13"/>
      <c r="BV145" s="13"/>
      <c r="BW145" s="10" t="s">
        <v>167</v>
      </c>
      <c r="BX145" s="9" t="s">
        <v>168</v>
      </c>
      <c r="BY145" s="10"/>
      <c r="BZ145" t="s">
        <v>990</v>
      </c>
      <c r="CA145"/>
      <c r="CB145" s="34"/>
      <c r="CC145" s="34"/>
      <c r="CD145" s="34"/>
      <c r="CE145" s="141"/>
    </row>
    <row r="146" spans="1:83">
      <c r="A146" s="35" t="s">
        <v>317</v>
      </c>
      <c r="B146" s="9" t="s">
        <v>877</v>
      </c>
      <c r="C146" s="9" t="s">
        <v>54</v>
      </c>
      <c r="D146" s="10" t="s">
        <v>1</v>
      </c>
      <c r="E146" s="9" t="s">
        <v>115</v>
      </c>
      <c r="F146" s="36" t="s">
        <v>99</v>
      </c>
      <c r="G146" s="9" t="s">
        <v>100</v>
      </c>
      <c r="H146" s="3" t="s">
        <v>128</v>
      </c>
      <c r="I146" s="9" t="s">
        <v>100</v>
      </c>
      <c r="J146" s="36" t="s">
        <v>101</v>
      </c>
      <c r="K146" s="10" t="s">
        <v>559</v>
      </c>
      <c r="L146" s="10" t="s">
        <v>559</v>
      </c>
      <c r="M146" s="9" t="s">
        <v>100</v>
      </c>
      <c r="N146" s="10" t="s">
        <v>494</v>
      </c>
      <c r="O146" s="9" t="s">
        <v>100</v>
      </c>
      <c r="P146" s="10"/>
      <c r="Q146" s="10" t="s">
        <v>494</v>
      </c>
      <c r="R146" s="10" t="s">
        <v>119</v>
      </c>
      <c r="S146" s="10" t="s">
        <v>130</v>
      </c>
      <c r="T146" s="10" t="s">
        <v>120</v>
      </c>
      <c r="U146" s="10" t="s">
        <v>101</v>
      </c>
      <c r="V146" s="10" t="s">
        <v>121</v>
      </c>
      <c r="W146" s="10" t="s">
        <v>122</v>
      </c>
      <c r="X146" s="10" t="s">
        <v>123</v>
      </c>
      <c r="Y146" s="29">
        <v>1</v>
      </c>
      <c r="Z146" s="138" t="s">
        <v>561</v>
      </c>
      <c r="AA146" s="138">
        <v>38071</v>
      </c>
      <c r="AB146" s="9" t="s">
        <v>114</v>
      </c>
      <c r="AC146" s="9" t="s">
        <v>124</v>
      </c>
      <c r="AD146" s="15">
        <v>44651</v>
      </c>
      <c r="AE146" s="39" t="s">
        <v>125</v>
      </c>
      <c r="AF146" s="177">
        <v>6</v>
      </c>
      <c r="AG146" s="140">
        <v>0</v>
      </c>
      <c r="AH146" s="9">
        <v>0</v>
      </c>
      <c r="AI146" s="10" t="s">
        <v>126</v>
      </c>
      <c r="AJ146" s="10"/>
      <c r="AK146" s="29"/>
      <c r="AL146" s="12">
        <v>1</v>
      </c>
      <c r="AM146" s="10"/>
      <c r="AN146" s="12">
        <f>FAR[[#This Row],[Opening RUL]]+FAR[[#This Row],[RUL Adjustment]]</f>
        <v>1</v>
      </c>
      <c r="AO146" s="12">
        <f>FAR[[#This Row],[Opening RUL 30 June 2026]]-1</f>
        <v>0</v>
      </c>
      <c r="AP146" s="12" t="s">
        <v>1050</v>
      </c>
      <c r="AQ146" s="139"/>
      <c r="AR146" s="10" t="s">
        <v>127</v>
      </c>
      <c r="AS146" s="13">
        <v>1515.44</v>
      </c>
      <c r="AT146" s="13"/>
      <c r="AU146" s="13">
        <v>0</v>
      </c>
      <c r="AV146" s="13">
        <v>0</v>
      </c>
      <c r="AW146" s="13">
        <v>0</v>
      </c>
      <c r="AX146" s="13">
        <v>1515.44</v>
      </c>
      <c r="AY146" s="13">
        <v>84.19111111111124</v>
      </c>
      <c r="AZ146" s="13">
        <v>0</v>
      </c>
      <c r="BA146" s="13"/>
      <c r="BB146" s="13"/>
      <c r="BC146" s="13">
        <v>-1431.2488888888888</v>
      </c>
      <c r="BD146" s="13"/>
      <c r="BE146" s="13" t="s">
        <v>114</v>
      </c>
      <c r="BF146" s="29"/>
      <c r="BG146" s="13"/>
      <c r="BH146" s="13">
        <f>-FAR[[#This Row],[Carrying value (opening balance)]]/FAR[[#This Row],[Opening RUL 30 June 2026]]</f>
        <v>-84.19111111111124</v>
      </c>
      <c r="BI146" s="13">
        <f>FAR[[#This Row],[Depreciation YTD]]/12</f>
        <v>-7.015925925925937</v>
      </c>
      <c r="BJ146" s="13"/>
      <c r="BK146" s="13" t="s">
        <v>116</v>
      </c>
      <c r="BL146" s="13">
        <v>0</v>
      </c>
      <c r="BM146" s="13">
        <f>FAR[[#This Row],[Accumulated depreciation (Opening balance)]]+FAR[[#This Row],[Depreciation YTD]]+FAR[[#This Row],[Derecognitions (acc dep) '[+']]]</f>
        <v>-1515.44</v>
      </c>
      <c r="BN146" s="13"/>
      <c r="BO146" s="13"/>
      <c r="BP146" s="13"/>
      <c r="BQ146" s="13"/>
      <c r="BR14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46" s="13">
        <f>FAR[[#This Row],[Cost Price (closing balance)]]+FAR[[#This Row],[Accumulated depreciation (Closing balance)]]+FAR[[#This Row],[Accumulated impairments (Closing balance)]]</f>
        <v>0</v>
      </c>
      <c r="BT146" s="13"/>
      <c r="BU146" s="13"/>
      <c r="BV146" s="13"/>
      <c r="BW146" s="10" t="s">
        <v>167</v>
      </c>
      <c r="BX146" s="9" t="s">
        <v>168</v>
      </c>
      <c r="BY146" s="10"/>
      <c r="BZ146" t="s">
        <v>938</v>
      </c>
      <c r="CA146"/>
      <c r="CB146" s="34"/>
      <c r="CC146" s="34"/>
      <c r="CD146" s="34"/>
      <c r="CE146" s="141"/>
    </row>
    <row r="147" spans="1:83">
      <c r="A147" s="35" t="s">
        <v>318</v>
      </c>
      <c r="B147" s="9" t="s">
        <v>882</v>
      </c>
      <c r="C147" s="9" t="s">
        <v>54</v>
      </c>
      <c r="D147" s="10" t="s">
        <v>1</v>
      </c>
      <c r="E147" s="9" t="s">
        <v>115</v>
      </c>
      <c r="F147" s="36" t="s">
        <v>99</v>
      </c>
      <c r="G147" s="9" t="s">
        <v>100</v>
      </c>
      <c r="H147" s="3" t="s">
        <v>128</v>
      </c>
      <c r="I147" s="9" t="s">
        <v>100</v>
      </c>
      <c r="J147" s="36" t="s">
        <v>101</v>
      </c>
      <c r="K147" s="10" t="s">
        <v>559</v>
      </c>
      <c r="L147" s="10" t="s">
        <v>559</v>
      </c>
      <c r="M147" s="9" t="s">
        <v>100</v>
      </c>
      <c r="N147" s="10" t="s">
        <v>498</v>
      </c>
      <c r="O147" s="9" t="s">
        <v>100</v>
      </c>
      <c r="P147" s="10"/>
      <c r="Q147" s="10" t="s">
        <v>498</v>
      </c>
      <c r="R147" s="10" t="s">
        <v>119</v>
      </c>
      <c r="S147" s="10" t="s">
        <v>130</v>
      </c>
      <c r="T147" s="10" t="s">
        <v>120</v>
      </c>
      <c r="U147" s="10" t="s">
        <v>101</v>
      </c>
      <c r="V147" s="10" t="s">
        <v>121</v>
      </c>
      <c r="W147" s="10" t="s">
        <v>122</v>
      </c>
      <c r="X147" s="10" t="s">
        <v>123</v>
      </c>
      <c r="Y147" s="29">
        <v>1</v>
      </c>
      <c r="Z147" s="138" t="s">
        <v>561</v>
      </c>
      <c r="AA147" s="138">
        <v>38071</v>
      </c>
      <c r="AB147" s="9" t="s">
        <v>114</v>
      </c>
      <c r="AC147" s="9" t="s">
        <v>124</v>
      </c>
      <c r="AD147" s="15">
        <v>44651</v>
      </c>
      <c r="AE147" s="39" t="s">
        <v>125</v>
      </c>
      <c r="AF147" s="177">
        <v>6</v>
      </c>
      <c r="AG147" s="140">
        <v>0</v>
      </c>
      <c r="AH147" s="9">
        <v>0</v>
      </c>
      <c r="AI147" s="10" t="s">
        <v>126</v>
      </c>
      <c r="AJ147" s="10"/>
      <c r="AK147" s="29"/>
      <c r="AL147" s="12">
        <v>1</v>
      </c>
      <c r="AM147" s="10"/>
      <c r="AN147" s="12">
        <f>FAR[[#This Row],[Opening RUL]]+FAR[[#This Row],[RUL Adjustment]]</f>
        <v>1</v>
      </c>
      <c r="AO147" s="12">
        <f>FAR[[#This Row],[Opening RUL 30 June 2026]]-1</f>
        <v>0</v>
      </c>
      <c r="AP147" s="12" t="s">
        <v>1050</v>
      </c>
      <c r="AQ147" s="139"/>
      <c r="AR147" s="10" t="s">
        <v>127</v>
      </c>
      <c r="AS147" s="13">
        <v>3780.24</v>
      </c>
      <c r="AT147" s="13"/>
      <c r="AU147" s="13">
        <v>0</v>
      </c>
      <c r="AV147" s="13">
        <v>0</v>
      </c>
      <c r="AW147" s="13">
        <v>0</v>
      </c>
      <c r="AX147" s="13">
        <v>3780.24</v>
      </c>
      <c r="AY147" s="13">
        <v>210.01333333333332</v>
      </c>
      <c r="AZ147" s="13">
        <v>0</v>
      </c>
      <c r="BA147" s="13"/>
      <c r="BB147" s="13"/>
      <c r="BC147" s="13">
        <v>-3570.2266666666665</v>
      </c>
      <c r="BD147" s="13"/>
      <c r="BE147" s="13" t="s">
        <v>114</v>
      </c>
      <c r="BF147" s="29"/>
      <c r="BG147" s="13"/>
      <c r="BH147" s="13">
        <f>-FAR[[#This Row],[Carrying value (opening balance)]]/FAR[[#This Row],[Opening RUL 30 June 2026]]</f>
        <v>-210.01333333333332</v>
      </c>
      <c r="BI147" s="13">
        <f>FAR[[#This Row],[Depreciation YTD]]/12</f>
        <v>-17.501111111111111</v>
      </c>
      <c r="BJ147" s="13"/>
      <c r="BK147" s="13" t="s">
        <v>116</v>
      </c>
      <c r="BL147" s="13">
        <v>0</v>
      </c>
      <c r="BM147" s="13">
        <f>FAR[[#This Row],[Accumulated depreciation (Opening balance)]]+FAR[[#This Row],[Depreciation YTD]]+FAR[[#This Row],[Derecognitions (acc dep) '[+']]]</f>
        <v>-3780.24</v>
      </c>
      <c r="BN147" s="13"/>
      <c r="BO147" s="13"/>
      <c r="BP147" s="13"/>
      <c r="BQ147" s="13"/>
      <c r="BR14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47" s="13">
        <f>FAR[[#This Row],[Cost Price (closing balance)]]+FAR[[#This Row],[Accumulated depreciation (Closing balance)]]+FAR[[#This Row],[Accumulated impairments (Closing balance)]]</f>
        <v>0</v>
      </c>
      <c r="BT147" s="13"/>
      <c r="BU147" s="13"/>
      <c r="BV147" s="13"/>
      <c r="BW147" s="10" t="s">
        <v>167</v>
      </c>
      <c r="BX147" s="9" t="s">
        <v>168</v>
      </c>
      <c r="BY147" s="10"/>
      <c r="BZ147" t="s">
        <v>993</v>
      </c>
      <c r="CA147"/>
      <c r="CB147" s="34"/>
      <c r="CC147" s="34"/>
      <c r="CD147" s="34"/>
      <c r="CE147" s="141"/>
    </row>
    <row r="148" spans="1:83">
      <c r="A148" s="35" t="s">
        <v>319</v>
      </c>
      <c r="B148" s="9" t="s">
        <v>892</v>
      </c>
      <c r="C148" s="9" t="s">
        <v>54</v>
      </c>
      <c r="D148" s="10" t="s">
        <v>1</v>
      </c>
      <c r="E148" s="9" t="s">
        <v>115</v>
      </c>
      <c r="F148" s="36" t="s">
        <v>99</v>
      </c>
      <c r="G148" s="9" t="s">
        <v>100</v>
      </c>
      <c r="H148" s="3" t="s">
        <v>128</v>
      </c>
      <c r="I148" s="9" t="s">
        <v>100</v>
      </c>
      <c r="J148" s="36" t="s">
        <v>101</v>
      </c>
      <c r="K148" s="10" t="s">
        <v>559</v>
      </c>
      <c r="L148" s="10" t="s">
        <v>559</v>
      </c>
      <c r="M148" s="9" t="s">
        <v>100</v>
      </c>
      <c r="N148" s="10" t="s">
        <v>499</v>
      </c>
      <c r="O148" s="9" t="s">
        <v>100</v>
      </c>
      <c r="P148" s="10"/>
      <c r="Q148" s="10" t="s">
        <v>499</v>
      </c>
      <c r="R148" s="10" t="s">
        <v>119</v>
      </c>
      <c r="S148" s="10" t="s">
        <v>130</v>
      </c>
      <c r="T148" s="10" t="s">
        <v>120</v>
      </c>
      <c r="U148" s="10" t="s">
        <v>101</v>
      </c>
      <c r="V148" s="10" t="s">
        <v>121</v>
      </c>
      <c r="W148" s="10" t="s">
        <v>122</v>
      </c>
      <c r="X148" s="10" t="s">
        <v>123</v>
      </c>
      <c r="Y148" s="29">
        <v>1</v>
      </c>
      <c r="Z148" s="138" t="s">
        <v>581</v>
      </c>
      <c r="AA148" s="138">
        <v>38102</v>
      </c>
      <c r="AB148" s="9" t="s">
        <v>114</v>
      </c>
      <c r="AC148" s="9" t="s">
        <v>124</v>
      </c>
      <c r="AD148" s="15">
        <v>44651</v>
      </c>
      <c r="AE148" s="39" t="s">
        <v>125</v>
      </c>
      <c r="AF148" s="177">
        <v>6</v>
      </c>
      <c r="AG148" s="140">
        <v>0</v>
      </c>
      <c r="AH148" s="9">
        <v>0</v>
      </c>
      <c r="AI148" s="10" t="s">
        <v>126</v>
      </c>
      <c r="AJ148" s="10"/>
      <c r="AK148" s="29"/>
      <c r="AL148" s="12">
        <v>1</v>
      </c>
      <c r="AM148" s="10"/>
      <c r="AN148" s="12">
        <f>FAR[[#This Row],[Opening RUL]]+FAR[[#This Row],[RUL Adjustment]]</f>
        <v>1</v>
      </c>
      <c r="AO148" s="12">
        <f>FAR[[#This Row],[Opening RUL 30 June 2026]]-1</f>
        <v>0</v>
      </c>
      <c r="AP148" s="12" t="s">
        <v>1051</v>
      </c>
      <c r="AQ148" s="139"/>
      <c r="AR148" s="10" t="s">
        <v>127</v>
      </c>
      <c r="AS148" s="13">
        <v>2052</v>
      </c>
      <c r="AT148" s="13"/>
      <c r="AU148" s="13">
        <v>0</v>
      </c>
      <c r="AV148" s="13">
        <v>0</v>
      </c>
      <c r="AW148" s="13">
        <v>0</v>
      </c>
      <c r="AX148" s="13">
        <v>2052</v>
      </c>
      <c r="AY148" s="13">
        <v>114</v>
      </c>
      <c r="AZ148" s="13">
        <v>0</v>
      </c>
      <c r="BA148" s="13"/>
      <c r="BB148" s="13"/>
      <c r="BC148" s="13">
        <v>-1938</v>
      </c>
      <c r="BD148" s="13"/>
      <c r="BE148" s="13" t="s">
        <v>114</v>
      </c>
      <c r="BF148" s="29"/>
      <c r="BG148" s="13"/>
      <c r="BH148" s="13">
        <f>-FAR[[#This Row],[Carrying value (opening balance)]]/FAR[[#This Row],[Opening RUL 30 June 2026]]</f>
        <v>-114</v>
      </c>
      <c r="BI148" s="13">
        <f>FAR[[#This Row],[Depreciation YTD]]/12</f>
        <v>-9.5</v>
      </c>
      <c r="BJ148" s="13"/>
      <c r="BK148" s="13" t="s">
        <v>116</v>
      </c>
      <c r="BL148" s="13">
        <v>0</v>
      </c>
      <c r="BM148" s="13">
        <f>FAR[[#This Row],[Accumulated depreciation (Opening balance)]]+FAR[[#This Row],[Depreciation YTD]]+FAR[[#This Row],[Derecognitions (acc dep) '[+']]]</f>
        <v>-2052</v>
      </c>
      <c r="BN148" s="13"/>
      <c r="BO148" s="13"/>
      <c r="BP148" s="13"/>
      <c r="BQ148" s="13"/>
      <c r="BR14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48" s="13">
        <f>FAR[[#This Row],[Cost Price (closing balance)]]+FAR[[#This Row],[Accumulated depreciation (Closing balance)]]+FAR[[#This Row],[Accumulated impairments (Closing balance)]]</f>
        <v>0</v>
      </c>
      <c r="BT148" s="13"/>
      <c r="BU148" s="13"/>
      <c r="BV148" s="13"/>
      <c r="BW148" s="10" t="s">
        <v>167</v>
      </c>
      <c r="BX148" s="9" t="s">
        <v>168</v>
      </c>
      <c r="BY148" s="10"/>
      <c r="BZ148" t="s">
        <v>980</v>
      </c>
      <c r="CA148"/>
      <c r="CB148" s="34"/>
      <c r="CC148" s="34"/>
      <c r="CD148" s="34"/>
      <c r="CE148" s="141"/>
    </row>
    <row r="149" spans="1:83">
      <c r="A149" s="35" t="s">
        <v>320</v>
      </c>
      <c r="B149" s="9" t="s">
        <v>861</v>
      </c>
      <c r="C149" s="9" t="s">
        <v>54</v>
      </c>
      <c r="D149" s="10" t="s">
        <v>1</v>
      </c>
      <c r="E149" s="9" t="s">
        <v>115</v>
      </c>
      <c r="F149" s="36" t="s">
        <v>99</v>
      </c>
      <c r="G149" s="9" t="s">
        <v>100</v>
      </c>
      <c r="H149" s="3" t="s">
        <v>128</v>
      </c>
      <c r="I149" s="9" t="s">
        <v>100</v>
      </c>
      <c r="J149" s="36" t="s">
        <v>101</v>
      </c>
      <c r="K149" s="10" t="s">
        <v>559</v>
      </c>
      <c r="L149" s="10" t="s">
        <v>559</v>
      </c>
      <c r="M149" s="9" t="s">
        <v>100</v>
      </c>
      <c r="N149" s="10" t="s">
        <v>500</v>
      </c>
      <c r="O149" s="9" t="s">
        <v>100</v>
      </c>
      <c r="P149" s="10"/>
      <c r="Q149" s="10" t="s">
        <v>500</v>
      </c>
      <c r="R149" s="10" t="s">
        <v>119</v>
      </c>
      <c r="S149" s="10" t="s">
        <v>130</v>
      </c>
      <c r="T149" s="10" t="s">
        <v>120</v>
      </c>
      <c r="U149" s="10" t="s">
        <v>101</v>
      </c>
      <c r="V149" s="10" t="s">
        <v>121</v>
      </c>
      <c r="W149" s="10" t="s">
        <v>122</v>
      </c>
      <c r="X149" s="10" t="s">
        <v>123</v>
      </c>
      <c r="Y149" s="29">
        <v>1</v>
      </c>
      <c r="Z149" s="138" t="s">
        <v>582</v>
      </c>
      <c r="AA149" s="138">
        <v>38436</v>
      </c>
      <c r="AB149" s="9" t="s">
        <v>114</v>
      </c>
      <c r="AC149" s="9" t="s">
        <v>124</v>
      </c>
      <c r="AD149" s="15">
        <v>44651</v>
      </c>
      <c r="AE149" s="39" t="s">
        <v>125</v>
      </c>
      <c r="AF149" s="177">
        <v>6</v>
      </c>
      <c r="AG149" s="140">
        <v>0</v>
      </c>
      <c r="AH149" s="9">
        <v>0</v>
      </c>
      <c r="AI149" s="10" t="s">
        <v>126</v>
      </c>
      <c r="AJ149" s="10"/>
      <c r="AK149" s="29"/>
      <c r="AL149" s="12">
        <v>1</v>
      </c>
      <c r="AM149" s="10"/>
      <c r="AN149" s="12">
        <f>FAR[[#This Row],[Opening RUL]]+FAR[[#This Row],[RUL Adjustment]]</f>
        <v>1</v>
      </c>
      <c r="AO149" s="12">
        <f>FAR[[#This Row],[Opening RUL 30 June 2026]]-1</f>
        <v>0</v>
      </c>
      <c r="AP149" s="12" t="s">
        <v>1050</v>
      </c>
      <c r="AQ149" s="139"/>
      <c r="AR149" s="10" t="s">
        <v>127</v>
      </c>
      <c r="AS149" s="13">
        <v>850</v>
      </c>
      <c r="AT149" s="13"/>
      <c r="AU149" s="13">
        <v>0</v>
      </c>
      <c r="AV149" s="13">
        <v>0</v>
      </c>
      <c r="AW149" s="13">
        <v>0</v>
      </c>
      <c r="AX149" s="13">
        <v>850</v>
      </c>
      <c r="AY149" s="13">
        <v>47.222222222222172</v>
      </c>
      <c r="AZ149" s="13">
        <v>0</v>
      </c>
      <c r="BA149" s="13"/>
      <c r="BB149" s="13"/>
      <c r="BC149" s="13">
        <v>-802.77777777777783</v>
      </c>
      <c r="BD149" s="13"/>
      <c r="BE149" s="13" t="s">
        <v>114</v>
      </c>
      <c r="BF149" s="29"/>
      <c r="BG149" s="13"/>
      <c r="BH149" s="13">
        <f>-FAR[[#This Row],[Carrying value (opening balance)]]/FAR[[#This Row],[Opening RUL 30 June 2026]]</f>
        <v>-47.222222222222172</v>
      </c>
      <c r="BI149" s="13">
        <f>FAR[[#This Row],[Depreciation YTD]]/12</f>
        <v>-3.9351851851851811</v>
      </c>
      <c r="BJ149" s="13"/>
      <c r="BK149" s="13" t="s">
        <v>116</v>
      </c>
      <c r="BL149" s="13">
        <v>0</v>
      </c>
      <c r="BM149" s="13">
        <f>FAR[[#This Row],[Accumulated depreciation (Opening balance)]]+FAR[[#This Row],[Depreciation YTD]]+FAR[[#This Row],[Derecognitions (acc dep) '[+']]]</f>
        <v>-850</v>
      </c>
      <c r="BN149" s="13"/>
      <c r="BO149" s="13"/>
      <c r="BP149" s="13"/>
      <c r="BQ149" s="13"/>
      <c r="BR14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49" s="13">
        <f>FAR[[#This Row],[Cost Price (closing balance)]]+FAR[[#This Row],[Accumulated depreciation (Closing balance)]]+FAR[[#This Row],[Accumulated impairments (Closing balance)]]</f>
        <v>0</v>
      </c>
      <c r="BT149" s="13"/>
      <c r="BU149" s="13"/>
      <c r="BV149" s="13"/>
      <c r="BW149" s="10" t="s">
        <v>167</v>
      </c>
      <c r="BX149" s="9" t="s">
        <v>168</v>
      </c>
      <c r="BY149" s="10"/>
      <c r="BZ149" t="s">
        <v>946</v>
      </c>
      <c r="CA149"/>
      <c r="CB149" s="34"/>
      <c r="CC149" s="34"/>
      <c r="CD149" s="34"/>
      <c r="CE149" s="141"/>
    </row>
    <row r="150" spans="1:83">
      <c r="A150" s="35" t="s">
        <v>321</v>
      </c>
      <c r="B150" s="9" t="s">
        <v>887</v>
      </c>
      <c r="C150" s="9" t="s">
        <v>54</v>
      </c>
      <c r="D150" s="10" t="s">
        <v>1</v>
      </c>
      <c r="E150" s="9" t="s">
        <v>115</v>
      </c>
      <c r="F150" s="36" t="s">
        <v>99</v>
      </c>
      <c r="G150" s="9" t="s">
        <v>100</v>
      </c>
      <c r="H150" s="3" t="s">
        <v>128</v>
      </c>
      <c r="I150" s="9" t="s">
        <v>100</v>
      </c>
      <c r="J150" s="36" t="s">
        <v>101</v>
      </c>
      <c r="K150" s="10" t="s">
        <v>559</v>
      </c>
      <c r="L150" s="10" t="s">
        <v>559</v>
      </c>
      <c r="M150" s="9" t="s">
        <v>100</v>
      </c>
      <c r="N150" s="10" t="s">
        <v>467</v>
      </c>
      <c r="O150" s="9" t="s">
        <v>100</v>
      </c>
      <c r="P150" s="10"/>
      <c r="Q150" s="10" t="s">
        <v>467</v>
      </c>
      <c r="R150" s="10" t="s">
        <v>119</v>
      </c>
      <c r="S150" s="10" t="s">
        <v>130</v>
      </c>
      <c r="T150" s="10" t="s">
        <v>120</v>
      </c>
      <c r="U150" s="10" t="s">
        <v>101</v>
      </c>
      <c r="V150" s="10" t="s">
        <v>121</v>
      </c>
      <c r="W150" s="10" t="s">
        <v>122</v>
      </c>
      <c r="X150" s="10" t="s">
        <v>123</v>
      </c>
      <c r="Y150" s="29">
        <v>1</v>
      </c>
      <c r="Z150" s="138" t="s">
        <v>583</v>
      </c>
      <c r="AA150" s="138">
        <v>40479</v>
      </c>
      <c r="AB150" s="9" t="s">
        <v>114</v>
      </c>
      <c r="AC150" s="9" t="s">
        <v>124</v>
      </c>
      <c r="AD150" s="15">
        <v>44651</v>
      </c>
      <c r="AE150" s="39" t="s">
        <v>125</v>
      </c>
      <c r="AF150" s="177">
        <v>6</v>
      </c>
      <c r="AG150" s="140">
        <v>0</v>
      </c>
      <c r="AH150" s="9">
        <v>0</v>
      </c>
      <c r="AI150" s="10" t="s">
        <v>126</v>
      </c>
      <c r="AJ150" s="10"/>
      <c r="AK150" s="29"/>
      <c r="AL150" s="12">
        <v>1</v>
      </c>
      <c r="AM150" s="10"/>
      <c r="AN150" s="12">
        <f>FAR[[#This Row],[Opening RUL]]+FAR[[#This Row],[RUL Adjustment]]</f>
        <v>1</v>
      </c>
      <c r="AO150" s="12">
        <f>FAR[[#This Row],[Opening RUL 30 June 2026]]-1</f>
        <v>0</v>
      </c>
      <c r="AP150" s="12" t="s">
        <v>1050</v>
      </c>
      <c r="AQ150" s="139"/>
      <c r="AR150" s="10" t="s">
        <v>127</v>
      </c>
      <c r="AS150" s="13">
        <v>2211.6</v>
      </c>
      <c r="AT150" s="13"/>
      <c r="AU150" s="13">
        <v>0</v>
      </c>
      <c r="AV150" s="13">
        <v>0</v>
      </c>
      <c r="AW150" s="13">
        <v>0</v>
      </c>
      <c r="AX150" s="13">
        <v>2211.6</v>
      </c>
      <c r="AY150" s="13">
        <v>122.86666666666679</v>
      </c>
      <c r="AZ150" s="13">
        <v>0</v>
      </c>
      <c r="BA150" s="13"/>
      <c r="BB150" s="13"/>
      <c r="BC150" s="13">
        <v>-2088.7333333333331</v>
      </c>
      <c r="BD150" s="13"/>
      <c r="BE150" s="13" t="s">
        <v>114</v>
      </c>
      <c r="BF150" s="29"/>
      <c r="BG150" s="13"/>
      <c r="BH150" s="13">
        <f>-FAR[[#This Row],[Carrying value (opening balance)]]/FAR[[#This Row],[Opening RUL 30 June 2026]]</f>
        <v>-122.86666666666679</v>
      </c>
      <c r="BI150" s="13">
        <f>FAR[[#This Row],[Depreciation YTD]]/12</f>
        <v>-10.2388888888889</v>
      </c>
      <c r="BJ150" s="13"/>
      <c r="BK150" s="13" t="s">
        <v>116</v>
      </c>
      <c r="BL150" s="13">
        <v>0</v>
      </c>
      <c r="BM150" s="13">
        <f>FAR[[#This Row],[Accumulated depreciation (Opening balance)]]+FAR[[#This Row],[Depreciation YTD]]+FAR[[#This Row],[Derecognitions (acc dep) '[+']]]</f>
        <v>-2211.6</v>
      </c>
      <c r="BN150" s="13"/>
      <c r="BO150" s="13"/>
      <c r="BP150" s="13"/>
      <c r="BQ150" s="13"/>
      <c r="BR15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50" s="13">
        <f>FAR[[#This Row],[Cost Price (closing balance)]]+FAR[[#This Row],[Accumulated depreciation (Closing balance)]]+FAR[[#This Row],[Accumulated impairments (Closing balance)]]</f>
        <v>0</v>
      </c>
      <c r="BT150" s="13"/>
      <c r="BU150" s="13"/>
      <c r="BV150" s="13"/>
      <c r="BW150" s="10" t="s">
        <v>167</v>
      </c>
      <c r="BX150" s="9" t="s">
        <v>168</v>
      </c>
      <c r="BY150" s="10"/>
      <c r="BZ150" t="s">
        <v>976</v>
      </c>
      <c r="CA150"/>
      <c r="CB150" s="34"/>
      <c r="CC150" s="34"/>
      <c r="CD150" s="34"/>
      <c r="CE150" s="141"/>
    </row>
    <row r="151" spans="1:83">
      <c r="A151" s="35" t="s">
        <v>322</v>
      </c>
      <c r="B151" s="9" t="s">
        <v>887</v>
      </c>
      <c r="C151" s="9" t="s">
        <v>54</v>
      </c>
      <c r="D151" s="10" t="s">
        <v>1</v>
      </c>
      <c r="E151" s="9" t="s">
        <v>115</v>
      </c>
      <c r="F151" s="36" t="s">
        <v>99</v>
      </c>
      <c r="G151" s="9" t="s">
        <v>100</v>
      </c>
      <c r="H151" s="3" t="s">
        <v>128</v>
      </c>
      <c r="I151" s="9" t="s">
        <v>100</v>
      </c>
      <c r="J151" s="36" t="s">
        <v>101</v>
      </c>
      <c r="K151" s="10" t="s">
        <v>559</v>
      </c>
      <c r="L151" s="10" t="s">
        <v>559</v>
      </c>
      <c r="M151" s="9" t="s">
        <v>100</v>
      </c>
      <c r="N151" s="10" t="s">
        <v>467</v>
      </c>
      <c r="O151" s="9" t="s">
        <v>100</v>
      </c>
      <c r="P151" s="10"/>
      <c r="Q151" s="10" t="s">
        <v>467</v>
      </c>
      <c r="R151" s="10" t="s">
        <v>119</v>
      </c>
      <c r="S151" s="10" t="s">
        <v>130</v>
      </c>
      <c r="T151" s="10" t="s">
        <v>120</v>
      </c>
      <c r="U151" s="10" t="s">
        <v>101</v>
      </c>
      <c r="V151" s="10" t="s">
        <v>121</v>
      </c>
      <c r="W151" s="10" t="s">
        <v>122</v>
      </c>
      <c r="X151" s="10" t="s">
        <v>123</v>
      </c>
      <c r="Y151" s="29">
        <v>1</v>
      </c>
      <c r="Z151" s="138" t="s">
        <v>583</v>
      </c>
      <c r="AA151" s="138">
        <v>40479</v>
      </c>
      <c r="AB151" s="9" t="s">
        <v>114</v>
      </c>
      <c r="AC151" s="9" t="s">
        <v>124</v>
      </c>
      <c r="AD151" s="15">
        <v>44651</v>
      </c>
      <c r="AE151" s="39" t="s">
        <v>125</v>
      </c>
      <c r="AF151" s="177">
        <v>6</v>
      </c>
      <c r="AG151" s="140">
        <v>0</v>
      </c>
      <c r="AH151" s="9">
        <v>0</v>
      </c>
      <c r="AI151" s="10" t="s">
        <v>126</v>
      </c>
      <c r="AJ151" s="10"/>
      <c r="AK151" s="29"/>
      <c r="AL151" s="12">
        <v>1</v>
      </c>
      <c r="AM151" s="10"/>
      <c r="AN151" s="12">
        <f>FAR[[#This Row],[Opening RUL]]+FAR[[#This Row],[RUL Adjustment]]</f>
        <v>1</v>
      </c>
      <c r="AO151" s="12">
        <f>FAR[[#This Row],[Opening RUL 30 June 2026]]-1</f>
        <v>0</v>
      </c>
      <c r="AP151" s="12" t="s">
        <v>1050</v>
      </c>
      <c r="AQ151" s="139"/>
      <c r="AR151" s="10" t="s">
        <v>127</v>
      </c>
      <c r="AS151" s="13">
        <v>2211.6</v>
      </c>
      <c r="AT151" s="13"/>
      <c r="AU151" s="13">
        <v>0</v>
      </c>
      <c r="AV151" s="13">
        <v>0</v>
      </c>
      <c r="AW151" s="13">
        <v>0</v>
      </c>
      <c r="AX151" s="13">
        <v>2211.6</v>
      </c>
      <c r="AY151" s="13">
        <v>122.86666666666679</v>
      </c>
      <c r="AZ151" s="13">
        <v>0</v>
      </c>
      <c r="BA151" s="13"/>
      <c r="BB151" s="13"/>
      <c r="BC151" s="13">
        <v>-2088.7333333333331</v>
      </c>
      <c r="BD151" s="13"/>
      <c r="BE151" s="13" t="s">
        <v>114</v>
      </c>
      <c r="BF151" s="29"/>
      <c r="BG151" s="13"/>
      <c r="BH151" s="13">
        <f>-FAR[[#This Row],[Carrying value (opening balance)]]/FAR[[#This Row],[Opening RUL 30 June 2026]]</f>
        <v>-122.86666666666679</v>
      </c>
      <c r="BI151" s="13">
        <f>FAR[[#This Row],[Depreciation YTD]]/12</f>
        <v>-10.2388888888889</v>
      </c>
      <c r="BJ151" s="13"/>
      <c r="BK151" s="13" t="s">
        <v>116</v>
      </c>
      <c r="BL151" s="13">
        <v>0</v>
      </c>
      <c r="BM151" s="13">
        <f>FAR[[#This Row],[Accumulated depreciation (Opening balance)]]+FAR[[#This Row],[Depreciation YTD]]+FAR[[#This Row],[Derecognitions (acc dep) '[+']]]</f>
        <v>-2211.6</v>
      </c>
      <c r="BN151" s="13"/>
      <c r="BO151" s="13"/>
      <c r="BP151" s="13"/>
      <c r="BQ151" s="13"/>
      <c r="BR15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51" s="13">
        <f>FAR[[#This Row],[Cost Price (closing balance)]]+FAR[[#This Row],[Accumulated depreciation (Closing balance)]]+FAR[[#This Row],[Accumulated impairments (Closing balance)]]</f>
        <v>0</v>
      </c>
      <c r="BT151" s="13"/>
      <c r="BU151" s="13"/>
      <c r="BV151" s="13"/>
      <c r="BW151" s="10" t="s">
        <v>167</v>
      </c>
      <c r="BX151" s="9" t="s">
        <v>168</v>
      </c>
      <c r="BY151" s="10"/>
      <c r="BZ151" t="s">
        <v>976</v>
      </c>
      <c r="CA151"/>
      <c r="CB151" s="34"/>
      <c r="CC151" s="34"/>
      <c r="CD151" s="34"/>
      <c r="CE151" s="141"/>
    </row>
    <row r="152" spans="1:83">
      <c r="A152" s="35" t="s">
        <v>323</v>
      </c>
      <c r="B152" s="9" t="s">
        <v>887</v>
      </c>
      <c r="C152" s="9" t="s">
        <v>54</v>
      </c>
      <c r="D152" s="10" t="s">
        <v>1</v>
      </c>
      <c r="E152" s="9" t="s">
        <v>115</v>
      </c>
      <c r="F152" s="36" t="s">
        <v>99</v>
      </c>
      <c r="G152" s="9" t="s">
        <v>100</v>
      </c>
      <c r="H152" s="3" t="s">
        <v>128</v>
      </c>
      <c r="I152" s="9" t="s">
        <v>100</v>
      </c>
      <c r="J152" s="36" t="s">
        <v>101</v>
      </c>
      <c r="K152" s="10" t="s">
        <v>559</v>
      </c>
      <c r="L152" s="10" t="s">
        <v>559</v>
      </c>
      <c r="M152" s="9" t="s">
        <v>100</v>
      </c>
      <c r="N152" s="10" t="s">
        <v>467</v>
      </c>
      <c r="O152" s="9" t="s">
        <v>100</v>
      </c>
      <c r="P152" s="10"/>
      <c r="Q152" s="10" t="s">
        <v>467</v>
      </c>
      <c r="R152" s="10" t="s">
        <v>119</v>
      </c>
      <c r="S152" s="10" t="s">
        <v>130</v>
      </c>
      <c r="T152" s="10" t="s">
        <v>120</v>
      </c>
      <c r="U152" s="10" t="s">
        <v>101</v>
      </c>
      <c r="V152" s="10" t="s">
        <v>121</v>
      </c>
      <c r="W152" s="10" t="s">
        <v>122</v>
      </c>
      <c r="X152" s="10" t="s">
        <v>123</v>
      </c>
      <c r="Y152" s="29">
        <v>1</v>
      </c>
      <c r="Z152" s="138" t="s">
        <v>583</v>
      </c>
      <c r="AA152" s="138">
        <v>40479</v>
      </c>
      <c r="AB152" s="9" t="s">
        <v>114</v>
      </c>
      <c r="AC152" s="9" t="s">
        <v>124</v>
      </c>
      <c r="AD152" s="15">
        <v>44651</v>
      </c>
      <c r="AE152" s="39" t="s">
        <v>125</v>
      </c>
      <c r="AF152" s="177">
        <v>6</v>
      </c>
      <c r="AG152" s="140">
        <v>0</v>
      </c>
      <c r="AH152" s="9">
        <v>0</v>
      </c>
      <c r="AI152" s="10" t="s">
        <v>126</v>
      </c>
      <c r="AJ152" s="10"/>
      <c r="AK152" s="29"/>
      <c r="AL152" s="12">
        <v>1</v>
      </c>
      <c r="AM152" s="10"/>
      <c r="AN152" s="12">
        <f>FAR[[#This Row],[Opening RUL]]+FAR[[#This Row],[RUL Adjustment]]</f>
        <v>1</v>
      </c>
      <c r="AO152" s="12">
        <f>FAR[[#This Row],[Opening RUL 30 June 2026]]-1</f>
        <v>0</v>
      </c>
      <c r="AP152" s="12" t="s">
        <v>1050</v>
      </c>
      <c r="AQ152" s="139"/>
      <c r="AR152" s="10" t="s">
        <v>127</v>
      </c>
      <c r="AS152" s="13">
        <v>2211.6</v>
      </c>
      <c r="AT152" s="13"/>
      <c r="AU152" s="13">
        <v>0</v>
      </c>
      <c r="AV152" s="13">
        <v>0</v>
      </c>
      <c r="AW152" s="13">
        <v>0</v>
      </c>
      <c r="AX152" s="13">
        <v>2211.6</v>
      </c>
      <c r="AY152" s="13">
        <v>122.86666666666679</v>
      </c>
      <c r="AZ152" s="13">
        <v>0</v>
      </c>
      <c r="BA152" s="13"/>
      <c r="BB152" s="13"/>
      <c r="BC152" s="13">
        <v>-2088.7333333333331</v>
      </c>
      <c r="BD152" s="13"/>
      <c r="BE152" s="13" t="s">
        <v>114</v>
      </c>
      <c r="BF152" s="29"/>
      <c r="BG152" s="13"/>
      <c r="BH152" s="13">
        <f>-FAR[[#This Row],[Carrying value (opening balance)]]/FAR[[#This Row],[Opening RUL 30 June 2026]]</f>
        <v>-122.86666666666679</v>
      </c>
      <c r="BI152" s="13">
        <f>FAR[[#This Row],[Depreciation YTD]]/12</f>
        <v>-10.2388888888889</v>
      </c>
      <c r="BJ152" s="13"/>
      <c r="BK152" s="13" t="s">
        <v>116</v>
      </c>
      <c r="BL152" s="13">
        <v>0</v>
      </c>
      <c r="BM152" s="13">
        <f>FAR[[#This Row],[Accumulated depreciation (Opening balance)]]+FAR[[#This Row],[Depreciation YTD]]+FAR[[#This Row],[Derecognitions (acc dep) '[+']]]</f>
        <v>-2211.6</v>
      </c>
      <c r="BN152" s="13"/>
      <c r="BO152" s="13"/>
      <c r="BP152" s="13"/>
      <c r="BQ152" s="13"/>
      <c r="BR15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52" s="13">
        <f>FAR[[#This Row],[Cost Price (closing balance)]]+FAR[[#This Row],[Accumulated depreciation (Closing balance)]]+FAR[[#This Row],[Accumulated impairments (Closing balance)]]</f>
        <v>0</v>
      </c>
      <c r="BT152" s="13"/>
      <c r="BU152" s="13"/>
      <c r="BV152" s="13"/>
      <c r="BW152" s="10" t="s">
        <v>167</v>
      </c>
      <c r="BX152" s="9" t="s">
        <v>168</v>
      </c>
      <c r="BY152" s="10"/>
      <c r="BZ152" t="s">
        <v>976</v>
      </c>
      <c r="CA152"/>
      <c r="CB152" s="34"/>
      <c r="CC152" s="34"/>
      <c r="CD152" s="34"/>
      <c r="CE152" s="141"/>
    </row>
    <row r="153" spans="1:83">
      <c r="A153" s="35" t="s">
        <v>324</v>
      </c>
      <c r="B153" s="9" t="s">
        <v>887</v>
      </c>
      <c r="C153" s="9" t="s">
        <v>54</v>
      </c>
      <c r="D153" s="10" t="s">
        <v>1</v>
      </c>
      <c r="E153" s="9" t="s">
        <v>115</v>
      </c>
      <c r="F153" s="36" t="s">
        <v>99</v>
      </c>
      <c r="G153" s="9" t="s">
        <v>100</v>
      </c>
      <c r="H153" s="3" t="s">
        <v>128</v>
      </c>
      <c r="I153" s="9" t="s">
        <v>100</v>
      </c>
      <c r="J153" s="36" t="s">
        <v>101</v>
      </c>
      <c r="K153" s="10" t="s">
        <v>559</v>
      </c>
      <c r="L153" s="10" t="s">
        <v>559</v>
      </c>
      <c r="M153" s="9" t="s">
        <v>100</v>
      </c>
      <c r="N153" s="10" t="s">
        <v>467</v>
      </c>
      <c r="O153" s="9" t="s">
        <v>100</v>
      </c>
      <c r="P153" s="10"/>
      <c r="Q153" s="10" t="s">
        <v>467</v>
      </c>
      <c r="R153" s="10" t="s">
        <v>119</v>
      </c>
      <c r="S153" s="10" t="s">
        <v>130</v>
      </c>
      <c r="T153" s="10" t="s">
        <v>120</v>
      </c>
      <c r="U153" s="10" t="s">
        <v>101</v>
      </c>
      <c r="V153" s="10" t="s">
        <v>121</v>
      </c>
      <c r="W153" s="10" t="s">
        <v>122</v>
      </c>
      <c r="X153" s="10" t="s">
        <v>123</v>
      </c>
      <c r="Y153" s="29">
        <v>1</v>
      </c>
      <c r="Z153" s="138" t="s">
        <v>583</v>
      </c>
      <c r="AA153" s="138">
        <v>40479</v>
      </c>
      <c r="AB153" s="9" t="s">
        <v>114</v>
      </c>
      <c r="AC153" s="9" t="s">
        <v>124</v>
      </c>
      <c r="AD153" s="15">
        <v>44651</v>
      </c>
      <c r="AE153" s="39" t="s">
        <v>125</v>
      </c>
      <c r="AF153" s="177">
        <v>6</v>
      </c>
      <c r="AG153" s="140">
        <v>0</v>
      </c>
      <c r="AH153" s="9">
        <v>0</v>
      </c>
      <c r="AI153" s="10" t="s">
        <v>126</v>
      </c>
      <c r="AJ153" s="10"/>
      <c r="AK153" s="29"/>
      <c r="AL153" s="12">
        <v>1</v>
      </c>
      <c r="AM153" s="10"/>
      <c r="AN153" s="12">
        <f>FAR[[#This Row],[Opening RUL]]+FAR[[#This Row],[RUL Adjustment]]</f>
        <v>1</v>
      </c>
      <c r="AO153" s="12">
        <f>FAR[[#This Row],[Opening RUL 30 June 2026]]-1</f>
        <v>0</v>
      </c>
      <c r="AP153" s="12" t="s">
        <v>1050</v>
      </c>
      <c r="AQ153" s="139"/>
      <c r="AR153" s="10" t="s">
        <v>127</v>
      </c>
      <c r="AS153" s="13">
        <v>2211.6</v>
      </c>
      <c r="AT153" s="13"/>
      <c r="AU153" s="13">
        <v>0</v>
      </c>
      <c r="AV153" s="13">
        <v>0</v>
      </c>
      <c r="AW153" s="13">
        <v>0</v>
      </c>
      <c r="AX153" s="13">
        <v>2211.6</v>
      </c>
      <c r="AY153" s="13">
        <v>122.86666666666679</v>
      </c>
      <c r="AZ153" s="13">
        <v>0</v>
      </c>
      <c r="BA153" s="13"/>
      <c r="BB153" s="13"/>
      <c r="BC153" s="13">
        <v>-2088.7333333333331</v>
      </c>
      <c r="BD153" s="13"/>
      <c r="BE153" s="13" t="s">
        <v>114</v>
      </c>
      <c r="BF153" s="29"/>
      <c r="BG153" s="13"/>
      <c r="BH153" s="13">
        <f>-FAR[[#This Row],[Carrying value (opening balance)]]/FAR[[#This Row],[Opening RUL 30 June 2026]]</f>
        <v>-122.86666666666679</v>
      </c>
      <c r="BI153" s="13">
        <f>FAR[[#This Row],[Depreciation YTD]]/12</f>
        <v>-10.2388888888889</v>
      </c>
      <c r="BJ153" s="13"/>
      <c r="BK153" s="13" t="s">
        <v>116</v>
      </c>
      <c r="BL153" s="13">
        <v>0</v>
      </c>
      <c r="BM153" s="13">
        <f>FAR[[#This Row],[Accumulated depreciation (Opening balance)]]+FAR[[#This Row],[Depreciation YTD]]+FAR[[#This Row],[Derecognitions (acc dep) '[+']]]</f>
        <v>-2211.6</v>
      </c>
      <c r="BN153" s="13"/>
      <c r="BO153" s="13"/>
      <c r="BP153" s="13"/>
      <c r="BQ153" s="13"/>
      <c r="BR15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53" s="13">
        <f>FAR[[#This Row],[Cost Price (closing balance)]]+FAR[[#This Row],[Accumulated depreciation (Closing balance)]]+FAR[[#This Row],[Accumulated impairments (Closing balance)]]</f>
        <v>0</v>
      </c>
      <c r="BT153" s="13"/>
      <c r="BU153" s="13"/>
      <c r="BV153" s="13"/>
      <c r="BW153" s="10" t="s">
        <v>167</v>
      </c>
      <c r="BX153" s="9" t="s">
        <v>168</v>
      </c>
      <c r="BY153" s="10"/>
      <c r="BZ153" t="s">
        <v>976</v>
      </c>
      <c r="CA153"/>
      <c r="CB153" s="34"/>
      <c r="CC153" s="34"/>
      <c r="CD153" s="34"/>
      <c r="CE153" s="141"/>
    </row>
    <row r="154" spans="1:83">
      <c r="A154" s="35" t="s">
        <v>325</v>
      </c>
      <c r="B154" s="9" t="s">
        <v>887</v>
      </c>
      <c r="C154" s="9" t="s">
        <v>54</v>
      </c>
      <c r="D154" s="10" t="s">
        <v>1</v>
      </c>
      <c r="E154" s="9" t="s">
        <v>115</v>
      </c>
      <c r="F154" s="36" t="s">
        <v>99</v>
      </c>
      <c r="G154" s="9" t="s">
        <v>100</v>
      </c>
      <c r="H154" s="3" t="s">
        <v>128</v>
      </c>
      <c r="I154" s="9" t="s">
        <v>100</v>
      </c>
      <c r="J154" s="36" t="s">
        <v>101</v>
      </c>
      <c r="K154" s="10" t="s">
        <v>559</v>
      </c>
      <c r="L154" s="10" t="s">
        <v>559</v>
      </c>
      <c r="M154" s="9" t="s">
        <v>100</v>
      </c>
      <c r="N154" s="10" t="s">
        <v>467</v>
      </c>
      <c r="O154" s="9" t="s">
        <v>100</v>
      </c>
      <c r="P154" s="10"/>
      <c r="Q154" s="10" t="s">
        <v>467</v>
      </c>
      <c r="R154" s="10" t="s">
        <v>119</v>
      </c>
      <c r="S154" s="10" t="s">
        <v>130</v>
      </c>
      <c r="T154" s="10" t="s">
        <v>120</v>
      </c>
      <c r="U154" s="10" t="s">
        <v>101</v>
      </c>
      <c r="V154" s="10" t="s">
        <v>121</v>
      </c>
      <c r="W154" s="10" t="s">
        <v>122</v>
      </c>
      <c r="X154" s="10" t="s">
        <v>123</v>
      </c>
      <c r="Y154" s="29">
        <v>1</v>
      </c>
      <c r="Z154" s="138" t="s">
        <v>583</v>
      </c>
      <c r="AA154" s="138">
        <v>40479</v>
      </c>
      <c r="AB154" s="9" t="s">
        <v>114</v>
      </c>
      <c r="AC154" s="9" t="s">
        <v>124</v>
      </c>
      <c r="AD154" s="15">
        <v>44651</v>
      </c>
      <c r="AE154" s="39" t="s">
        <v>125</v>
      </c>
      <c r="AF154" s="177">
        <v>6</v>
      </c>
      <c r="AG154" s="140">
        <v>0</v>
      </c>
      <c r="AH154" s="9">
        <v>0</v>
      </c>
      <c r="AI154" s="10" t="s">
        <v>126</v>
      </c>
      <c r="AJ154" s="10"/>
      <c r="AK154" s="29"/>
      <c r="AL154" s="12">
        <v>1</v>
      </c>
      <c r="AM154" s="10"/>
      <c r="AN154" s="12">
        <f>FAR[[#This Row],[Opening RUL]]+FAR[[#This Row],[RUL Adjustment]]</f>
        <v>1</v>
      </c>
      <c r="AO154" s="12">
        <f>FAR[[#This Row],[Opening RUL 30 June 2026]]-1</f>
        <v>0</v>
      </c>
      <c r="AP154" s="12" t="s">
        <v>1050</v>
      </c>
      <c r="AQ154" s="139"/>
      <c r="AR154" s="10" t="s">
        <v>127</v>
      </c>
      <c r="AS154" s="13">
        <v>2211.6</v>
      </c>
      <c r="AT154" s="13"/>
      <c r="AU154" s="13">
        <v>0</v>
      </c>
      <c r="AV154" s="13">
        <v>0</v>
      </c>
      <c r="AW154" s="13">
        <v>0</v>
      </c>
      <c r="AX154" s="13">
        <v>2211.6</v>
      </c>
      <c r="AY154" s="13">
        <v>122.86666666666679</v>
      </c>
      <c r="AZ154" s="13">
        <v>0</v>
      </c>
      <c r="BA154" s="13"/>
      <c r="BB154" s="13"/>
      <c r="BC154" s="13">
        <v>-2088.7333333333331</v>
      </c>
      <c r="BD154" s="13"/>
      <c r="BE154" s="13" t="s">
        <v>114</v>
      </c>
      <c r="BF154" s="29"/>
      <c r="BG154" s="13"/>
      <c r="BH154" s="13">
        <f>-FAR[[#This Row],[Carrying value (opening balance)]]/FAR[[#This Row],[Opening RUL 30 June 2026]]</f>
        <v>-122.86666666666679</v>
      </c>
      <c r="BI154" s="13">
        <f>FAR[[#This Row],[Depreciation YTD]]/12</f>
        <v>-10.2388888888889</v>
      </c>
      <c r="BJ154" s="13"/>
      <c r="BK154" s="13" t="s">
        <v>116</v>
      </c>
      <c r="BL154" s="13">
        <v>0</v>
      </c>
      <c r="BM154" s="13">
        <f>FAR[[#This Row],[Accumulated depreciation (Opening balance)]]+FAR[[#This Row],[Depreciation YTD]]+FAR[[#This Row],[Derecognitions (acc dep) '[+']]]</f>
        <v>-2211.6</v>
      </c>
      <c r="BN154" s="13"/>
      <c r="BO154" s="13"/>
      <c r="BP154" s="13"/>
      <c r="BQ154" s="13"/>
      <c r="BR15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54" s="13">
        <f>FAR[[#This Row],[Cost Price (closing balance)]]+FAR[[#This Row],[Accumulated depreciation (Closing balance)]]+FAR[[#This Row],[Accumulated impairments (Closing balance)]]</f>
        <v>0</v>
      </c>
      <c r="BT154" s="13"/>
      <c r="BU154" s="13"/>
      <c r="BV154" s="13"/>
      <c r="BW154" s="10" t="s">
        <v>167</v>
      </c>
      <c r="BX154" s="9" t="s">
        <v>168</v>
      </c>
      <c r="BY154" s="10"/>
      <c r="BZ154" t="s">
        <v>976</v>
      </c>
      <c r="CA154"/>
      <c r="CB154" s="34"/>
      <c r="CC154" s="34"/>
      <c r="CD154" s="34"/>
      <c r="CE154" s="141"/>
    </row>
    <row r="155" spans="1:83">
      <c r="A155" s="35" t="s">
        <v>326</v>
      </c>
      <c r="B155" s="9" t="s">
        <v>887</v>
      </c>
      <c r="C155" s="9" t="s">
        <v>54</v>
      </c>
      <c r="D155" s="10" t="s">
        <v>1</v>
      </c>
      <c r="E155" s="9" t="s">
        <v>115</v>
      </c>
      <c r="F155" s="36" t="s">
        <v>99</v>
      </c>
      <c r="G155" s="9" t="s">
        <v>100</v>
      </c>
      <c r="H155" s="3" t="s">
        <v>128</v>
      </c>
      <c r="I155" s="9" t="s">
        <v>100</v>
      </c>
      <c r="J155" s="36" t="s">
        <v>101</v>
      </c>
      <c r="K155" s="10" t="s">
        <v>559</v>
      </c>
      <c r="L155" s="10" t="s">
        <v>559</v>
      </c>
      <c r="M155" s="9" t="s">
        <v>100</v>
      </c>
      <c r="N155" s="10" t="s">
        <v>467</v>
      </c>
      <c r="O155" s="9" t="s">
        <v>100</v>
      </c>
      <c r="P155" s="10"/>
      <c r="Q155" s="10" t="s">
        <v>467</v>
      </c>
      <c r="R155" s="10" t="s">
        <v>119</v>
      </c>
      <c r="S155" s="10" t="s">
        <v>130</v>
      </c>
      <c r="T155" s="10" t="s">
        <v>120</v>
      </c>
      <c r="U155" s="10" t="s">
        <v>101</v>
      </c>
      <c r="V155" s="10" t="s">
        <v>121</v>
      </c>
      <c r="W155" s="10" t="s">
        <v>122</v>
      </c>
      <c r="X155" s="10" t="s">
        <v>123</v>
      </c>
      <c r="Y155" s="29">
        <v>1</v>
      </c>
      <c r="Z155" s="138" t="s">
        <v>583</v>
      </c>
      <c r="AA155" s="138">
        <v>40479</v>
      </c>
      <c r="AB155" s="9" t="s">
        <v>114</v>
      </c>
      <c r="AC155" s="9" t="s">
        <v>124</v>
      </c>
      <c r="AD155" s="15">
        <v>44651</v>
      </c>
      <c r="AE155" s="39" t="s">
        <v>125</v>
      </c>
      <c r="AF155" s="177">
        <v>6</v>
      </c>
      <c r="AG155" s="140">
        <v>0</v>
      </c>
      <c r="AH155" s="9">
        <v>0</v>
      </c>
      <c r="AI155" s="10" t="s">
        <v>126</v>
      </c>
      <c r="AJ155" s="10"/>
      <c r="AK155" s="29"/>
      <c r="AL155" s="12">
        <v>1</v>
      </c>
      <c r="AM155" s="10"/>
      <c r="AN155" s="12">
        <f>FAR[[#This Row],[Opening RUL]]+FAR[[#This Row],[RUL Adjustment]]</f>
        <v>1</v>
      </c>
      <c r="AO155" s="12">
        <f>FAR[[#This Row],[Opening RUL 30 June 2026]]-1</f>
        <v>0</v>
      </c>
      <c r="AP155" s="12" t="s">
        <v>1050</v>
      </c>
      <c r="AQ155" s="139"/>
      <c r="AR155" s="10" t="s">
        <v>127</v>
      </c>
      <c r="AS155" s="13">
        <v>2211.6</v>
      </c>
      <c r="AT155" s="13"/>
      <c r="AU155" s="13">
        <v>0</v>
      </c>
      <c r="AV155" s="13">
        <v>0</v>
      </c>
      <c r="AW155" s="13">
        <v>0</v>
      </c>
      <c r="AX155" s="13">
        <v>2211.6</v>
      </c>
      <c r="AY155" s="13">
        <v>122.86666666666679</v>
      </c>
      <c r="AZ155" s="13">
        <v>0</v>
      </c>
      <c r="BA155" s="13"/>
      <c r="BB155" s="13"/>
      <c r="BC155" s="13">
        <v>-2088.7333333333331</v>
      </c>
      <c r="BD155" s="13"/>
      <c r="BE155" s="13" t="s">
        <v>114</v>
      </c>
      <c r="BF155" s="29"/>
      <c r="BG155" s="13"/>
      <c r="BH155" s="13">
        <f>-FAR[[#This Row],[Carrying value (opening balance)]]/FAR[[#This Row],[Opening RUL 30 June 2026]]</f>
        <v>-122.86666666666679</v>
      </c>
      <c r="BI155" s="13">
        <f>FAR[[#This Row],[Depreciation YTD]]/12</f>
        <v>-10.2388888888889</v>
      </c>
      <c r="BJ155" s="13"/>
      <c r="BK155" s="13" t="s">
        <v>116</v>
      </c>
      <c r="BL155" s="13">
        <v>0</v>
      </c>
      <c r="BM155" s="13">
        <f>FAR[[#This Row],[Accumulated depreciation (Opening balance)]]+FAR[[#This Row],[Depreciation YTD]]+FAR[[#This Row],[Derecognitions (acc dep) '[+']]]</f>
        <v>-2211.6</v>
      </c>
      <c r="BN155" s="13"/>
      <c r="BO155" s="13"/>
      <c r="BP155" s="13"/>
      <c r="BQ155" s="13"/>
      <c r="BR15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55" s="13">
        <f>FAR[[#This Row],[Cost Price (closing balance)]]+FAR[[#This Row],[Accumulated depreciation (Closing balance)]]+FAR[[#This Row],[Accumulated impairments (Closing balance)]]</f>
        <v>0</v>
      </c>
      <c r="BT155" s="13"/>
      <c r="BU155" s="13"/>
      <c r="BV155" s="13"/>
      <c r="BW155" s="10" t="s">
        <v>167</v>
      </c>
      <c r="BX155" s="9" t="s">
        <v>168</v>
      </c>
      <c r="BY155" s="10"/>
      <c r="BZ155" t="s">
        <v>976</v>
      </c>
      <c r="CA155"/>
      <c r="CB155" s="34"/>
      <c r="CC155" s="34"/>
      <c r="CD155" s="34"/>
      <c r="CE155" s="141"/>
    </row>
    <row r="156" spans="1:83">
      <c r="A156" s="35" t="s">
        <v>327</v>
      </c>
      <c r="B156" s="9" t="s">
        <v>887</v>
      </c>
      <c r="C156" s="9" t="s">
        <v>54</v>
      </c>
      <c r="D156" s="10" t="s">
        <v>1</v>
      </c>
      <c r="E156" s="9" t="s">
        <v>115</v>
      </c>
      <c r="F156" s="36" t="s">
        <v>99</v>
      </c>
      <c r="G156" s="9" t="s">
        <v>100</v>
      </c>
      <c r="H156" s="3" t="s">
        <v>128</v>
      </c>
      <c r="I156" s="9" t="s">
        <v>100</v>
      </c>
      <c r="J156" s="36" t="s">
        <v>101</v>
      </c>
      <c r="K156" s="10" t="s">
        <v>559</v>
      </c>
      <c r="L156" s="10" t="s">
        <v>559</v>
      </c>
      <c r="M156" s="9" t="s">
        <v>100</v>
      </c>
      <c r="N156" s="10" t="s">
        <v>467</v>
      </c>
      <c r="O156" s="9" t="s">
        <v>100</v>
      </c>
      <c r="P156" s="10"/>
      <c r="Q156" s="10" t="s">
        <v>467</v>
      </c>
      <c r="R156" s="10" t="s">
        <v>119</v>
      </c>
      <c r="S156" s="10" t="s">
        <v>130</v>
      </c>
      <c r="T156" s="10" t="s">
        <v>120</v>
      </c>
      <c r="U156" s="10" t="s">
        <v>101</v>
      </c>
      <c r="V156" s="10" t="s">
        <v>121</v>
      </c>
      <c r="W156" s="10" t="s">
        <v>122</v>
      </c>
      <c r="X156" s="10" t="s">
        <v>123</v>
      </c>
      <c r="Y156" s="29">
        <v>1</v>
      </c>
      <c r="Z156" s="138" t="s">
        <v>583</v>
      </c>
      <c r="AA156" s="138">
        <v>40479</v>
      </c>
      <c r="AB156" s="9" t="s">
        <v>114</v>
      </c>
      <c r="AC156" s="9" t="s">
        <v>124</v>
      </c>
      <c r="AD156" s="15">
        <v>44651</v>
      </c>
      <c r="AE156" s="39" t="s">
        <v>125</v>
      </c>
      <c r="AF156" s="177">
        <v>6</v>
      </c>
      <c r="AG156" s="140">
        <v>0</v>
      </c>
      <c r="AH156" s="9">
        <v>0</v>
      </c>
      <c r="AI156" s="10" t="s">
        <v>126</v>
      </c>
      <c r="AJ156" s="10"/>
      <c r="AK156" s="29"/>
      <c r="AL156" s="12">
        <v>1</v>
      </c>
      <c r="AM156" s="10"/>
      <c r="AN156" s="12">
        <f>FAR[[#This Row],[Opening RUL]]+FAR[[#This Row],[RUL Adjustment]]</f>
        <v>1</v>
      </c>
      <c r="AO156" s="12">
        <f>FAR[[#This Row],[Opening RUL 30 June 2026]]-1</f>
        <v>0</v>
      </c>
      <c r="AP156" s="12" t="s">
        <v>1050</v>
      </c>
      <c r="AQ156" s="139"/>
      <c r="AR156" s="10" t="s">
        <v>127</v>
      </c>
      <c r="AS156" s="13">
        <v>3950.1</v>
      </c>
      <c r="AT156" s="13"/>
      <c r="AU156" s="13">
        <v>0</v>
      </c>
      <c r="AV156" s="13">
        <v>0</v>
      </c>
      <c r="AW156" s="13">
        <v>0</v>
      </c>
      <c r="AX156" s="13">
        <v>3950.1</v>
      </c>
      <c r="AY156" s="13">
        <v>219.45000000000027</v>
      </c>
      <c r="AZ156" s="13">
        <v>0</v>
      </c>
      <c r="BA156" s="13"/>
      <c r="BB156" s="13"/>
      <c r="BC156" s="13">
        <v>-3730.6499999999996</v>
      </c>
      <c r="BD156" s="13"/>
      <c r="BE156" s="13" t="s">
        <v>114</v>
      </c>
      <c r="BF156" s="29"/>
      <c r="BG156" s="13"/>
      <c r="BH156" s="13">
        <f>-FAR[[#This Row],[Carrying value (opening balance)]]/FAR[[#This Row],[Opening RUL 30 June 2026]]</f>
        <v>-219.45000000000027</v>
      </c>
      <c r="BI156" s="13">
        <f>FAR[[#This Row],[Depreciation YTD]]/12</f>
        <v>-18.287500000000023</v>
      </c>
      <c r="BJ156" s="13"/>
      <c r="BK156" s="13" t="s">
        <v>116</v>
      </c>
      <c r="BL156" s="13">
        <v>0</v>
      </c>
      <c r="BM156" s="13">
        <f>FAR[[#This Row],[Accumulated depreciation (Opening balance)]]+FAR[[#This Row],[Depreciation YTD]]+FAR[[#This Row],[Derecognitions (acc dep) '[+']]]</f>
        <v>-3950.1</v>
      </c>
      <c r="BN156" s="13"/>
      <c r="BO156" s="13"/>
      <c r="BP156" s="13"/>
      <c r="BQ156" s="13"/>
      <c r="BR15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56" s="13">
        <f>FAR[[#This Row],[Cost Price (closing balance)]]+FAR[[#This Row],[Accumulated depreciation (Closing balance)]]+FAR[[#This Row],[Accumulated impairments (Closing balance)]]</f>
        <v>0</v>
      </c>
      <c r="BT156" s="13"/>
      <c r="BU156" s="13"/>
      <c r="BV156" s="13"/>
      <c r="BW156" s="10" t="s">
        <v>167</v>
      </c>
      <c r="BX156" s="9" t="s">
        <v>168</v>
      </c>
      <c r="BY156" s="10"/>
      <c r="BZ156" t="s">
        <v>959</v>
      </c>
      <c r="CA156"/>
      <c r="CB156" s="34"/>
      <c r="CC156" s="34"/>
      <c r="CD156" s="34"/>
      <c r="CE156" s="141"/>
    </row>
    <row r="157" spans="1:83">
      <c r="A157" s="35" t="s">
        <v>328</v>
      </c>
      <c r="B157" s="9" t="s">
        <v>887</v>
      </c>
      <c r="C157" s="9" t="s">
        <v>54</v>
      </c>
      <c r="D157" s="10" t="s">
        <v>1</v>
      </c>
      <c r="E157" s="9" t="s">
        <v>115</v>
      </c>
      <c r="F157" s="36" t="s">
        <v>99</v>
      </c>
      <c r="G157" s="9" t="s">
        <v>100</v>
      </c>
      <c r="H157" s="3" t="s">
        <v>128</v>
      </c>
      <c r="I157" s="9" t="s">
        <v>100</v>
      </c>
      <c r="J157" s="36" t="s">
        <v>101</v>
      </c>
      <c r="K157" s="10" t="s">
        <v>559</v>
      </c>
      <c r="L157" s="10" t="s">
        <v>559</v>
      </c>
      <c r="M157" s="9" t="s">
        <v>100</v>
      </c>
      <c r="N157" s="10" t="s">
        <v>467</v>
      </c>
      <c r="O157" s="9" t="s">
        <v>100</v>
      </c>
      <c r="P157" s="10"/>
      <c r="Q157" s="10" t="s">
        <v>467</v>
      </c>
      <c r="R157" s="10" t="s">
        <v>119</v>
      </c>
      <c r="S157" s="10" t="s">
        <v>130</v>
      </c>
      <c r="T157" s="10" t="s">
        <v>120</v>
      </c>
      <c r="U157" s="10" t="s">
        <v>101</v>
      </c>
      <c r="V157" s="10" t="s">
        <v>121</v>
      </c>
      <c r="W157" s="10" t="s">
        <v>122</v>
      </c>
      <c r="X157" s="10" t="s">
        <v>123</v>
      </c>
      <c r="Y157" s="29">
        <v>1</v>
      </c>
      <c r="Z157" s="138" t="s">
        <v>583</v>
      </c>
      <c r="AA157" s="138">
        <v>40479</v>
      </c>
      <c r="AB157" s="9" t="s">
        <v>114</v>
      </c>
      <c r="AC157" s="9" t="s">
        <v>124</v>
      </c>
      <c r="AD157" s="15">
        <v>44651</v>
      </c>
      <c r="AE157" s="39" t="s">
        <v>125</v>
      </c>
      <c r="AF157" s="177">
        <v>6</v>
      </c>
      <c r="AG157" s="140">
        <v>0</v>
      </c>
      <c r="AH157" s="9">
        <v>0</v>
      </c>
      <c r="AI157" s="10" t="s">
        <v>126</v>
      </c>
      <c r="AJ157" s="10"/>
      <c r="AK157" s="29"/>
      <c r="AL157" s="12">
        <v>1</v>
      </c>
      <c r="AM157" s="10"/>
      <c r="AN157" s="12">
        <f>FAR[[#This Row],[Opening RUL]]+FAR[[#This Row],[RUL Adjustment]]</f>
        <v>1</v>
      </c>
      <c r="AO157" s="12">
        <f>FAR[[#This Row],[Opening RUL 30 June 2026]]-1</f>
        <v>0</v>
      </c>
      <c r="AP157" s="12" t="s">
        <v>1050</v>
      </c>
      <c r="AQ157" s="139"/>
      <c r="AR157" s="10" t="s">
        <v>127</v>
      </c>
      <c r="AS157" s="13">
        <v>3950.1</v>
      </c>
      <c r="AT157" s="13"/>
      <c r="AU157" s="13">
        <v>0</v>
      </c>
      <c r="AV157" s="13">
        <v>0</v>
      </c>
      <c r="AW157" s="13">
        <v>0</v>
      </c>
      <c r="AX157" s="13">
        <v>3950.1</v>
      </c>
      <c r="AY157" s="13">
        <v>219.45000000000027</v>
      </c>
      <c r="AZ157" s="13">
        <v>0</v>
      </c>
      <c r="BA157" s="13"/>
      <c r="BB157" s="13"/>
      <c r="BC157" s="13">
        <v>-3730.6499999999996</v>
      </c>
      <c r="BD157" s="13"/>
      <c r="BE157" s="13" t="s">
        <v>114</v>
      </c>
      <c r="BF157" s="29"/>
      <c r="BG157" s="13"/>
      <c r="BH157" s="13">
        <f>-FAR[[#This Row],[Carrying value (opening balance)]]/FAR[[#This Row],[Opening RUL 30 June 2026]]</f>
        <v>-219.45000000000027</v>
      </c>
      <c r="BI157" s="13">
        <f>FAR[[#This Row],[Depreciation YTD]]/12</f>
        <v>-18.287500000000023</v>
      </c>
      <c r="BJ157" s="13"/>
      <c r="BK157" s="13" t="s">
        <v>116</v>
      </c>
      <c r="BL157" s="13">
        <v>0</v>
      </c>
      <c r="BM157" s="13">
        <f>FAR[[#This Row],[Accumulated depreciation (Opening balance)]]+FAR[[#This Row],[Depreciation YTD]]+FAR[[#This Row],[Derecognitions (acc dep) '[+']]]</f>
        <v>-3950.1</v>
      </c>
      <c r="BN157" s="13"/>
      <c r="BO157" s="13"/>
      <c r="BP157" s="13"/>
      <c r="BQ157" s="13"/>
      <c r="BR15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57" s="13">
        <f>FAR[[#This Row],[Cost Price (closing balance)]]+FAR[[#This Row],[Accumulated depreciation (Closing balance)]]+FAR[[#This Row],[Accumulated impairments (Closing balance)]]</f>
        <v>0</v>
      </c>
      <c r="BT157" s="13"/>
      <c r="BU157" s="13"/>
      <c r="BV157" s="13"/>
      <c r="BW157" s="10" t="s">
        <v>167</v>
      </c>
      <c r="BX157" s="9" t="s">
        <v>168</v>
      </c>
      <c r="BY157" s="10"/>
      <c r="BZ157" t="s">
        <v>959</v>
      </c>
      <c r="CA157"/>
      <c r="CB157" s="34"/>
      <c r="CC157" s="34"/>
      <c r="CD157" s="34"/>
      <c r="CE157" s="141"/>
    </row>
    <row r="158" spans="1:83">
      <c r="A158" s="35" t="s">
        <v>329</v>
      </c>
      <c r="B158" s="9" t="s">
        <v>887</v>
      </c>
      <c r="C158" s="9" t="s">
        <v>54</v>
      </c>
      <c r="D158" s="10" t="s">
        <v>1</v>
      </c>
      <c r="E158" s="9" t="s">
        <v>115</v>
      </c>
      <c r="F158" s="36" t="s">
        <v>99</v>
      </c>
      <c r="G158" s="9" t="s">
        <v>100</v>
      </c>
      <c r="H158" s="3" t="s">
        <v>128</v>
      </c>
      <c r="I158" s="9" t="s">
        <v>100</v>
      </c>
      <c r="J158" s="36" t="s">
        <v>101</v>
      </c>
      <c r="K158" s="10" t="s">
        <v>559</v>
      </c>
      <c r="L158" s="10" t="s">
        <v>559</v>
      </c>
      <c r="M158" s="9" t="s">
        <v>100</v>
      </c>
      <c r="N158" s="10" t="s">
        <v>467</v>
      </c>
      <c r="O158" s="9" t="s">
        <v>100</v>
      </c>
      <c r="P158" s="10"/>
      <c r="Q158" s="10" t="s">
        <v>467</v>
      </c>
      <c r="R158" s="10" t="s">
        <v>119</v>
      </c>
      <c r="S158" s="10" t="s">
        <v>130</v>
      </c>
      <c r="T158" s="10" t="s">
        <v>120</v>
      </c>
      <c r="U158" s="10" t="s">
        <v>101</v>
      </c>
      <c r="V158" s="10" t="s">
        <v>121</v>
      </c>
      <c r="W158" s="10" t="s">
        <v>122</v>
      </c>
      <c r="X158" s="10" t="s">
        <v>123</v>
      </c>
      <c r="Y158" s="29">
        <v>1</v>
      </c>
      <c r="Z158" s="138" t="s">
        <v>583</v>
      </c>
      <c r="AA158" s="138">
        <v>40479</v>
      </c>
      <c r="AB158" s="9" t="s">
        <v>114</v>
      </c>
      <c r="AC158" s="9" t="s">
        <v>124</v>
      </c>
      <c r="AD158" s="15">
        <v>44651</v>
      </c>
      <c r="AE158" s="39" t="s">
        <v>125</v>
      </c>
      <c r="AF158" s="177">
        <v>6</v>
      </c>
      <c r="AG158" s="140">
        <v>0</v>
      </c>
      <c r="AH158" s="9">
        <v>0</v>
      </c>
      <c r="AI158" s="10" t="s">
        <v>126</v>
      </c>
      <c r="AJ158" s="10"/>
      <c r="AK158" s="29"/>
      <c r="AL158" s="12">
        <v>1</v>
      </c>
      <c r="AM158" s="10"/>
      <c r="AN158" s="12">
        <f>FAR[[#This Row],[Opening RUL]]+FAR[[#This Row],[RUL Adjustment]]</f>
        <v>1</v>
      </c>
      <c r="AO158" s="12">
        <f>FAR[[#This Row],[Opening RUL 30 June 2026]]-1</f>
        <v>0</v>
      </c>
      <c r="AP158" s="12" t="s">
        <v>1050</v>
      </c>
      <c r="AQ158" s="139"/>
      <c r="AR158" s="10" t="s">
        <v>127</v>
      </c>
      <c r="AS158" s="13">
        <v>3950.1</v>
      </c>
      <c r="AT158" s="13"/>
      <c r="AU158" s="13">
        <v>0</v>
      </c>
      <c r="AV158" s="13">
        <v>0</v>
      </c>
      <c r="AW158" s="13">
        <v>0</v>
      </c>
      <c r="AX158" s="13">
        <v>3950.1</v>
      </c>
      <c r="AY158" s="13">
        <v>219.45000000000027</v>
      </c>
      <c r="AZ158" s="13">
        <v>0</v>
      </c>
      <c r="BA158" s="13"/>
      <c r="BB158" s="13"/>
      <c r="BC158" s="13">
        <v>-3730.6499999999996</v>
      </c>
      <c r="BD158" s="13"/>
      <c r="BE158" s="13" t="s">
        <v>114</v>
      </c>
      <c r="BF158" s="29"/>
      <c r="BG158" s="13"/>
      <c r="BH158" s="13">
        <f>-FAR[[#This Row],[Carrying value (opening balance)]]/FAR[[#This Row],[Opening RUL 30 June 2026]]</f>
        <v>-219.45000000000027</v>
      </c>
      <c r="BI158" s="13">
        <f>FAR[[#This Row],[Depreciation YTD]]/12</f>
        <v>-18.287500000000023</v>
      </c>
      <c r="BJ158" s="13"/>
      <c r="BK158" s="13" t="s">
        <v>116</v>
      </c>
      <c r="BL158" s="13">
        <v>0</v>
      </c>
      <c r="BM158" s="13">
        <f>FAR[[#This Row],[Accumulated depreciation (Opening balance)]]+FAR[[#This Row],[Depreciation YTD]]+FAR[[#This Row],[Derecognitions (acc dep) '[+']]]</f>
        <v>-3950.1</v>
      </c>
      <c r="BN158" s="13"/>
      <c r="BO158" s="13"/>
      <c r="BP158" s="13"/>
      <c r="BQ158" s="13"/>
      <c r="BR15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58" s="13">
        <f>FAR[[#This Row],[Cost Price (closing balance)]]+FAR[[#This Row],[Accumulated depreciation (Closing balance)]]+FAR[[#This Row],[Accumulated impairments (Closing balance)]]</f>
        <v>0</v>
      </c>
      <c r="BT158" s="13"/>
      <c r="BU158" s="13"/>
      <c r="BV158" s="13"/>
      <c r="BW158" s="10" t="s">
        <v>167</v>
      </c>
      <c r="BX158" s="9" t="s">
        <v>168</v>
      </c>
      <c r="BY158" s="10"/>
      <c r="BZ158" t="s">
        <v>959</v>
      </c>
      <c r="CA158"/>
      <c r="CB158" s="34"/>
      <c r="CC158" s="34"/>
      <c r="CD158" s="34"/>
      <c r="CE158" s="141"/>
    </row>
    <row r="159" spans="1:83">
      <c r="A159" s="35" t="s">
        <v>330</v>
      </c>
      <c r="B159" s="9" t="s">
        <v>887</v>
      </c>
      <c r="C159" s="9" t="s">
        <v>54</v>
      </c>
      <c r="D159" s="10" t="s">
        <v>1</v>
      </c>
      <c r="E159" s="9" t="s">
        <v>115</v>
      </c>
      <c r="F159" s="36" t="s">
        <v>99</v>
      </c>
      <c r="G159" s="9" t="s">
        <v>100</v>
      </c>
      <c r="H159" s="3" t="s">
        <v>128</v>
      </c>
      <c r="I159" s="9" t="s">
        <v>100</v>
      </c>
      <c r="J159" s="36" t="s">
        <v>101</v>
      </c>
      <c r="K159" s="10" t="s">
        <v>559</v>
      </c>
      <c r="L159" s="10" t="s">
        <v>559</v>
      </c>
      <c r="M159" s="9" t="s">
        <v>100</v>
      </c>
      <c r="N159" s="10" t="s">
        <v>467</v>
      </c>
      <c r="O159" s="9" t="s">
        <v>100</v>
      </c>
      <c r="P159" s="10"/>
      <c r="Q159" s="10" t="s">
        <v>467</v>
      </c>
      <c r="R159" s="10" t="s">
        <v>119</v>
      </c>
      <c r="S159" s="10" t="s">
        <v>130</v>
      </c>
      <c r="T159" s="10" t="s">
        <v>120</v>
      </c>
      <c r="U159" s="10" t="s">
        <v>101</v>
      </c>
      <c r="V159" s="10" t="s">
        <v>121</v>
      </c>
      <c r="W159" s="10" t="s">
        <v>122</v>
      </c>
      <c r="X159" s="10" t="s">
        <v>123</v>
      </c>
      <c r="Y159" s="29">
        <v>1</v>
      </c>
      <c r="Z159" s="138" t="s">
        <v>583</v>
      </c>
      <c r="AA159" s="138">
        <v>40479</v>
      </c>
      <c r="AB159" s="9" t="s">
        <v>114</v>
      </c>
      <c r="AC159" s="9" t="s">
        <v>124</v>
      </c>
      <c r="AD159" s="15">
        <v>44651</v>
      </c>
      <c r="AE159" s="39" t="s">
        <v>125</v>
      </c>
      <c r="AF159" s="177">
        <v>6</v>
      </c>
      <c r="AG159" s="140">
        <v>0</v>
      </c>
      <c r="AH159" s="9">
        <v>0</v>
      </c>
      <c r="AI159" s="10" t="s">
        <v>126</v>
      </c>
      <c r="AJ159" s="10"/>
      <c r="AK159" s="29"/>
      <c r="AL159" s="12">
        <v>1</v>
      </c>
      <c r="AM159" s="10"/>
      <c r="AN159" s="12">
        <f>FAR[[#This Row],[Opening RUL]]+FAR[[#This Row],[RUL Adjustment]]</f>
        <v>1</v>
      </c>
      <c r="AO159" s="12">
        <f>FAR[[#This Row],[Opening RUL 30 June 2026]]-1</f>
        <v>0</v>
      </c>
      <c r="AP159" s="12" t="s">
        <v>1050</v>
      </c>
      <c r="AQ159" s="139"/>
      <c r="AR159" s="10" t="s">
        <v>127</v>
      </c>
      <c r="AS159" s="13">
        <v>3950.1</v>
      </c>
      <c r="AT159" s="13"/>
      <c r="AU159" s="13">
        <v>0</v>
      </c>
      <c r="AV159" s="13">
        <v>0</v>
      </c>
      <c r="AW159" s="13">
        <v>0</v>
      </c>
      <c r="AX159" s="13">
        <v>3950.1</v>
      </c>
      <c r="AY159" s="13">
        <v>219.45000000000027</v>
      </c>
      <c r="AZ159" s="13">
        <v>0</v>
      </c>
      <c r="BA159" s="13"/>
      <c r="BB159" s="13"/>
      <c r="BC159" s="13">
        <v>-3730.6499999999996</v>
      </c>
      <c r="BD159" s="13"/>
      <c r="BE159" s="13" t="s">
        <v>114</v>
      </c>
      <c r="BF159" s="29"/>
      <c r="BG159" s="13"/>
      <c r="BH159" s="13">
        <f>-FAR[[#This Row],[Carrying value (opening balance)]]/FAR[[#This Row],[Opening RUL 30 June 2026]]</f>
        <v>-219.45000000000027</v>
      </c>
      <c r="BI159" s="13">
        <f>FAR[[#This Row],[Depreciation YTD]]/12</f>
        <v>-18.287500000000023</v>
      </c>
      <c r="BJ159" s="13"/>
      <c r="BK159" s="13" t="s">
        <v>116</v>
      </c>
      <c r="BL159" s="13">
        <v>0</v>
      </c>
      <c r="BM159" s="13">
        <f>FAR[[#This Row],[Accumulated depreciation (Opening balance)]]+FAR[[#This Row],[Depreciation YTD]]+FAR[[#This Row],[Derecognitions (acc dep) '[+']]]</f>
        <v>-3950.1</v>
      </c>
      <c r="BN159" s="13"/>
      <c r="BO159" s="13"/>
      <c r="BP159" s="13"/>
      <c r="BQ159" s="13"/>
      <c r="BR15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59" s="13">
        <f>FAR[[#This Row],[Cost Price (closing balance)]]+FAR[[#This Row],[Accumulated depreciation (Closing balance)]]+FAR[[#This Row],[Accumulated impairments (Closing balance)]]</f>
        <v>0</v>
      </c>
      <c r="BT159" s="13"/>
      <c r="BU159" s="13"/>
      <c r="BV159" s="13"/>
      <c r="BW159" s="10" t="s">
        <v>167</v>
      </c>
      <c r="BX159" s="9" t="s">
        <v>168</v>
      </c>
      <c r="BY159" s="10"/>
      <c r="BZ159" t="s">
        <v>959</v>
      </c>
      <c r="CA159"/>
      <c r="CB159" s="34"/>
      <c r="CC159" s="34"/>
      <c r="CD159" s="34"/>
      <c r="CE159" s="141"/>
    </row>
    <row r="160" spans="1:83">
      <c r="A160" s="35" t="s">
        <v>331</v>
      </c>
      <c r="B160" s="9" t="s">
        <v>903</v>
      </c>
      <c r="C160" s="9" t="s">
        <v>54</v>
      </c>
      <c r="D160" s="10" t="s">
        <v>1</v>
      </c>
      <c r="E160" s="9" t="s">
        <v>115</v>
      </c>
      <c r="F160" s="36" t="s">
        <v>99</v>
      </c>
      <c r="G160" s="9" t="s">
        <v>100</v>
      </c>
      <c r="H160" s="3" t="s">
        <v>128</v>
      </c>
      <c r="I160" s="9" t="s">
        <v>100</v>
      </c>
      <c r="J160" s="36" t="s">
        <v>101</v>
      </c>
      <c r="K160" s="10" t="s">
        <v>559</v>
      </c>
      <c r="L160" s="10" t="s">
        <v>559</v>
      </c>
      <c r="M160" s="9" t="s">
        <v>100</v>
      </c>
      <c r="N160" s="10" t="s">
        <v>501</v>
      </c>
      <c r="O160" s="9" t="s">
        <v>100</v>
      </c>
      <c r="P160" s="10"/>
      <c r="Q160" s="10" t="s">
        <v>501</v>
      </c>
      <c r="R160" s="10" t="s">
        <v>119</v>
      </c>
      <c r="S160" s="10" t="s">
        <v>130</v>
      </c>
      <c r="T160" s="10" t="s">
        <v>120</v>
      </c>
      <c r="U160" s="10" t="s">
        <v>101</v>
      </c>
      <c r="V160" s="10" t="s">
        <v>121</v>
      </c>
      <c r="W160" s="10" t="s">
        <v>122</v>
      </c>
      <c r="X160" s="10" t="s">
        <v>123</v>
      </c>
      <c r="Y160" s="29">
        <v>1</v>
      </c>
      <c r="Z160" s="138" t="s">
        <v>571</v>
      </c>
      <c r="AA160" s="138">
        <v>39304</v>
      </c>
      <c r="AB160" s="9" t="s">
        <v>114</v>
      </c>
      <c r="AC160" s="9" t="s">
        <v>124</v>
      </c>
      <c r="AD160" s="15">
        <v>44651</v>
      </c>
      <c r="AE160" s="39" t="s">
        <v>125</v>
      </c>
      <c r="AF160" s="177">
        <v>6</v>
      </c>
      <c r="AG160" s="140">
        <v>0</v>
      </c>
      <c r="AH160" s="9">
        <v>0</v>
      </c>
      <c r="AI160" s="10" t="s">
        <v>126</v>
      </c>
      <c r="AJ160" s="10"/>
      <c r="AK160" s="29"/>
      <c r="AL160" s="12">
        <v>1</v>
      </c>
      <c r="AM160" s="10"/>
      <c r="AN160" s="12">
        <f>FAR[[#This Row],[Opening RUL]]+FAR[[#This Row],[RUL Adjustment]]</f>
        <v>1</v>
      </c>
      <c r="AO160" s="12">
        <f>FAR[[#This Row],[Opening RUL 30 June 2026]]-1</f>
        <v>0</v>
      </c>
      <c r="AP160" s="12" t="s">
        <v>1050</v>
      </c>
      <c r="AQ160" s="139"/>
      <c r="AR160" s="10" t="s">
        <v>127</v>
      </c>
      <c r="AS160" s="13">
        <v>3839.41</v>
      </c>
      <c r="AT160" s="13"/>
      <c r="AU160" s="13">
        <v>0</v>
      </c>
      <c r="AV160" s="13">
        <v>0</v>
      </c>
      <c r="AW160" s="13">
        <v>0</v>
      </c>
      <c r="AX160" s="13">
        <v>3839.41</v>
      </c>
      <c r="AY160" s="13">
        <v>213.30055555555555</v>
      </c>
      <c r="AZ160" s="13">
        <v>0</v>
      </c>
      <c r="BA160" s="13"/>
      <c r="BB160" s="13"/>
      <c r="BC160" s="13">
        <v>-3626.1094444444443</v>
      </c>
      <c r="BD160" s="13"/>
      <c r="BE160" s="13" t="s">
        <v>114</v>
      </c>
      <c r="BF160" s="29"/>
      <c r="BG160" s="13"/>
      <c r="BH160" s="13">
        <f>-FAR[[#This Row],[Carrying value (opening balance)]]/FAR[[#This Row],[Opening RUL 30 June 2026]]</f>
        <v>-213.30055555555555</v>
      </c>
      <c r="BI160" s="13">
        <f>FAR[[#This Row],[Depreciation YTD]]/12</f>
        <v>-17.775046296296296</v>
      </c>
      <c r="BJ160" s="13"/>
      <c r="BK160" s="13" t="s">
        <v>116</v>
      </c>
      <c r="BL160" s="13">
        <v>0</v>
      </c>
      <c r="BM160" s="13">
        <f>FAR[[#This Row],[Accumulated depreciation (Opening balance)]]+FAR[[#This Row],[Depreciation YTD]]+FAR[[#This Row],[Derecognitions (acc dep) '[+']]]</f>
        <v>-3839.41</v>
      </c>
      <c r="BN160" s="13"/>
      <c r="BO160" s="13"/>
      <c r="BP160" s="13"/>
      <c r="BQ160" s="13"/>
      <c r="BR16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60" s="13">
        <f>FAR[[#This Row],[Cost Price (closing balance)]]+FAR[[#This Row],[Accumulated depreciation (Closing balance)]]+FAR[[#This Row],[Accumulated impairments (Closing balance)]]</f>
        <v>0</v>
      </c>
      <c r="BT160" s="13"/>
      <c r="BU160" s="13"/>
      <c r="BV160" s="13"/>
      <c r="BW160" s="10" t="s">
        <v>167</v>
      </c>
      <c r="BX160" s="9" t="s">
        <v>168</v>
      </c>
      <c r="BY160" s="10"/>
      <c r="BZ160" t="s">
        <v>994</v>
      </c>
      <c r="CA160"/>
      <c r="CB160" s="34"/>
      <c r="CC160" s="34"/>
      <c r="CD160" s="34"/>
      <c r="CE160" s="141"/>
    </row>
    <row r="161" spans="1:83">
      <c r="A161" s="35" t="s">
        <v>332</v>
      </c>
      <c r="B161" s="9">
        <v>0</v>
      </c>
      <c r="C161" s="9" t="s">
        <v>54</v>
      </c>
      <c r="D161" s="10" t="s">
        <v>1</v>
      </c>
      <c r="E161" s="9" t="s">
        <v>115</v>
      </c>
      <c r="F161" s="36" t="s">
        <v>99</v>
      </c>
      <c r="G161" s="9" t="s">
        <v>100</v>
      </c>
      <c r="H161" s="3" t="s">
        <v>128</v>
      </c>
      <c r="I161" s="9" t="s">
        <v>100</v>
      </c>
      <c r="J161" s="36" t="s">
        <v>101</v>
      </c>
      <c r="K161" s="10" t="s">
        <v>559</v>
      </c>
      <c r="L161" s="10" t="s">
        <v>559</v>
      </c>
      <c r="M161" s="9" t="s">
        <v>100</v>
      </c>
      <c r="N161" s="10" t="s">
        <v>480</v>
      </c>
      <c r="O161" s="9" t="s">
        <v>100</v>
      </c>
      <c r="P161" s="10"/>
      <c r="Q161" s="10" t="s">
        <v>480</v>
      </c>
      <c r="R161" s="10" t="s">
        <v>119</v>
      </c>
      <c r="S161" s="10" t="s">
        <v>130</v>
      </c>
      <c r="T161" s="10" t="s">
        <v>120</v>
      </c>
      <c r="U161" s="10" t="s">
        <v>101</v>
      </c>
      <c r="V161" s="10" t="s">
        <v>121</v>
      </c>
      <c r="W161" s="10" t="s">
        <v>122</v>
      </c>
      <c r="X161" s="10" t="s">
        <v>123</v>
      </c>
      <c r="Y161" s="29">
        <v>1</v>
      </c>
      <c r="Z161" s="138" t="s">
        <v>574</v>
      </c>
      <c r="AA161" s="138">
        <v>39503</v>
      </c>
      <c r="AB161" s="9" t="s">
        <v>114</v>
      </c>
      <c r="AC161" s="9" t="s">
        <v>124</v>
      </c>
      <c r="AD161" s="15">
        <v>44651</v>
      </c>
      <c r="AE161" s="39" t="s">
        <v>125</v>
      </c>
      <c r="AF161" s="177">
        <v>6</v>
      </c>
      <c r="AG161" s="140">
        <v>0</v>
      </c>
      <c r="AH161" s="9">
        <v>0</v>
      </c>
      <c r="AI161" s="10" t="s">
        <v>126</v>
      </c>
      <c r="AJ161" s="10"/>
      <c r="AK161" s="29"/>
      <c r="AL161" s="12">
        <v>1</v>
      </c>
      <c r="AM161" s="10"/>
      <c r="AN161" s="12">
        <f>FAR[[#This Row],[Opening RUL]]+FAR[[#This Row],[RUL Adjustment]]</f>
        <v>1</v>
      </c>
      <c r="AO161" s="12">
        <f>FAR[[#This Row],[Opening RUL 30 June 2026]]-1</f>
        <v>0</v>
      </c>
      <c r="AP161" s="12">
        <v>0</v>
      </c>
      <c r="AQ161" s="139"/>
      <c r="AR161" s="10" t="s">
        <v>127</v>
      </c>
      <c r="AS161" s="13">
        <v>850</v>
      </c>
      <c r="AT161" s="13"/>
      <c r="AU161" s="13">
        <v>0</v>
      </c>
      <c r="AV161" s="13">
        <v>0</v>
      </c>
      <c r="AW161" s="13">
        <v>0</v>
      </c>
      <c r="AX161" s="13">
        <v>850</v>
      </c>
      <c r="AY161" s="13">
        <v>47.222222222222172</v>
      </c>
      <c r="AZ161" s="13">
        <v>0</v>
      </c>
      <c r="BA161" s="13"/>
      <c r="BB161" s="13"/>
      <c r="BC161" s="13">
        <v>-802.77777777777783</v>
      </c>
      <c r="BD161" s="13"/>
      <c r="BE161" s="13" t="s">
        <v>114</v>
      </c>
      <c r="BF161" s="29"/>
      <c r="BG161" s="13"/>
      <c r="BH161" s="13">
        <f>-FAR[[#This Row],[Carrying value (opening balance)]]/FAR[[#This Row],[Opening RUL 30 June 2026]]</f>
        <v>-47.222222222222172</v>
      </c>
      <c r="BI161" s="13">
        <f>FAR[[#This Row],[Depreciation YTD]]/12</f>
        <v>-3.9351851851851811</v>
      </c>
      <c r="BJ161" s="13"/>
      <c r="BK161" s="13" t="s">
        <v>116</v>
      </c>
      <c r="BL161" s="13">
        <v>0</v>
      </c>
      <c r="BM161" s="13">
        <f>FAR[[#This Row],[Accumulated depreciation (Opening balance)]]+FAR[[#This Row],[Depreciation YTD]]+FAR[[#This Row],[Derecognitions (acc dep) '[+']]]</f>
        <v>-850</v>
      </c>
      <c r="BN161" s="13"/>
      <c r="BO161" s="13"/>
      <c r="BP161" s="13"/>
      <c r="BQ161" s="13"/>
      <c r="BR16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61" s="13">
        <f>FAR[[#This Row],[Cost Price (closing balance)]]+FAR[[#This Row],[Accumulated depreciation (Closing balance)]]+FAR[[#This Row],[Accumulated impairments (Closing balance)]]</f>
        <v>0</v>
      </c>
      <c r="BT161" s="13"/>
      <c r="BU161" s="13"/>
      <c r="BV161" s="13"/>
      <c r="BW161" s="10" t="s">
        <v>167</v>
      </c>
      <c r="BX161" s="9" t="s">
        <v>168</v>
      </c>
      <c r="BY161" s="10"/>
      <c r="BZ161">
        <v>0</v>
      </c>
      <c r="CA161"/>
      <c r="CB161" s="34"/>
      <c r="CC161" s="34"/>
      <c r="CD161" s="34"/>
      <c r="CE161" s="141"/>
    </row>
    <row r="162" spans="1:83">
      <c r="A162" s="35" t="s">
        <v>333</v>
      </c>
      <c r="B162" s="9" t="s">
        <v>904</v>
      </c>
      <c r="C162" s="9" t="s">
        <v>54</v>
      </c>
      <c r="D162" s="10" t="s">
        <v>1</v>
      </c>
      <c r="E162" s="9" t="s">
        <v>115</v>
      </c>
      <c r="F162" s="36" t="s">
        <v>99</v>
      </c>
      <c r="G162" s="9" t="s">
        <v>100</v>
      </c>
      <c r="H162" s="3" t="s">
        <v>128</v>
      </c>
      <c r="I162" s="9" t="s">
        <v>100</v>
      </c>
      <c r="J162" s="36" t="s">
        <v>101</v>
      </c>
      <c r="K162" s="10" t="s">
        <v>559</v>
      </c>
      <c r="L162" s="10" t="s">
        <v>559</v>
      </c>
      <c r="M162" s="9" t="s">
        <v>100</v>
      </c>
      <c r="N162" s="10" t="s">
        <v>502</v>
      </c>
      <c r="O162" s="9" t="s">
        <v>100</v>
      </c>
      <c r="P162" s="10"/>
      <c r="Q162" s="10" t="s">
        <v>502</v>
      </c>
      <c r="R162" s="10" t="s">
        <v>119</v>
      </c>
      <c r="S162" s="10" t="s">
        <v>130</v>
      </c>
      <c r="T162" s="10" t="s">
        <v>120</v>
      </c>
      <c r="U162" s="10" t="s">
        <v>101</v>
      </c>
      <c r="V162" s="10" t="s">
        <v>121</v>
      </c>
      <c r="W162" s="10" t="s">
        <v>122</v>
      </c>
      <c r="X162" s="10" t="s">
        <v>123</v>
      </c>
      <c r="Y162" s="29">
        <v>1</v>
      </c>
      <c r="Z162" s="138" t="s">
        <v>561</v>
      </c>
      <c r="AA162" s="138">
        <v>38071</v>
      </c>
      <c r="AB162" s="9" t="s">
        <v>114</v>
      </c>
      <c r="AC162" s="9" t="s">
        <v>124</v>
      </c>
      <c r="AD162" s="15">
        <v>44651</v>
      </c>
      <c r="AE162" s="39" t="s">
        <v>125</v>
      </c>
      <c r="AF162" s="177">
        <v>6</v>
      </c>
      <c r="AG162" s="140">
        <v>0</v>
      </c>
      <c r="AH162" s="9">
        <v>0</v>
      </c>
      <c r="AI162" s="10" t="s">
        <v>126</v>
      </c>
      <c r="AJ162" s="10"/>
      <c r="AK162" s="29"/>
      <c r="AL162" s="12">
        <v>1</v>
      </c>
      <c r="AM162" s="10"/>
      <c r="AN162" s="12">
        <f>FAR[[#This Row],[Opening RUL]]+FAR[[#This Row],[RUL Adjustment]]</f>
        <v>1</v>
      </c>
      <c r="AO162" s="12">
        <f>FAR[[#This Row],[Opening RUL 30 June 2026]]-1</f>
        <v>0</v>
      </c>
      <c r="AP162" s="12" t="s">
        <v>1050</v>
      </c>
      <c r="AQ162" s="139"/>
      <c r="AR162" s="10" t="s">
        <v>127</v>
      </c>
      <c r="AS162" s="13">
        <v>1180.47</v>
      </c>
      <c r="AT162" s="13"/>
      <c r="AU162" s="13">
        <v>0</v>
      </c>
      <c r="AV162" s="13">
        <v>0</v>
      </c>
      <c r="AW162" s="13">
        <v>0</v>
      </c>
      <c r="AX162" s="13">
        <v>1180.47</v>
      </c>
      <c r="AY162" s="13">
        <v>65.581666666666706</v>
      </c>
      <c r="AZ162" s="13">
        <v>0</v>
      </c>
      <c r="BA162" s="13"/>
      <c r="BB162" s="13"/>
      <c r="BC162" s="13">
        <v>-1114.8883333333333</v>
      </c>
      <c r="BD162" s="13"/>
      <c r="BE162" s="13" t="s">
        <v>114</v>
      </c>
      <c r="BF162" s="29"/>
      <c r="BG162" s="13"/>
      <c r="BH162" s="13">
        <f>-FAR[[#This Row],[Carrying value (opening balance)]]/FAR[[#This Row],[Opening RUL 30 June 2026]]</f>
        <v>-65.581666666666706</v>
      </c>
      <c r="BI162" s="13">
        <f>FAR[[#This Row],[Depreciation YTD]]/12</f>
        <v>-5.4651388888888919</v>
      </c>
      <c r="BJ162" s="13"/>
      <c r="BK162" s="13" t="s">
        <v>116</v>
      </c>
      <c r="BL162" s="13">
        <v>0</v>
      </c>
      <c r="BM162" s="13">
        <f>FAR[[#This Row],[Accumulated depreciation (Opening balance)]]+FAR[[#This Row],[Depreciation YTD]]+FAR[[#This Row],[Derecognitions (acc dep) '[+']]]</f>
        <v>-1180.47</v>
      </c>
      <c r="BN162" s="13"/>
      <c r="BO162" s="13"/>
      <c r="BP162" s="13"/>
      <c r="BQ162" s="13"/>
      <c r="BR16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62" s="13">
        <f>FAR[[#This Row],[Cost Price (closing balance)]]+FAR[[#This Row],[Accumulated depreciation (Closing balance)]]+FAR[[#This Row],[Accumulated impairments (Closing balance)]]</f>
        <v>0</v>
      </c>
      <c r="BT162" s="13"/>
      <c r="BU162" s="13"/>
      <c r="BV162" s="13"/>
      <c r="BW162" s="10" t="s">
        <v>167</v>
      </c>
      <c r="BX162" s="9" t="s">
        <v>168</v>
      </c>
      <c r="BY162" s="10"/>
      <c r="BZ162" t="s">
        <v>958</v>
      </c>
      <c r="CA162"/>
      <c r="CB162" s="34"/>
      <c r="CC162" s="34"/>
      <c r="CD162" s="34"/>
      <c r="CE162" s="141"/>
    </row>
    <row r="163" spans="1:83">
      <c r="A163" s="35" t="s">
        <v>334</v>
      </c>
      <c r="B163" s="9" t="s">
        <v>886</v>
      </c>
      <c r="C163" s="9" t="s">
        <v>54</v>
      </c>
      <c r="D163" s="10" t="s">
        <v>1</v>
      </c>
      <c r="E163" s="9" t="s">
        <v>115</v>
      </c>
      <c r="F163" s="36" t="s">
        <v>99</v>
      </c>
      <c r="G163" s="9" t="s">
        <v>100</v>
      </c>
      <c r="H163" s="3" t="s">
        <v>128</v>
      </c>
      <c r="I163" s="9" t="s">
        <v>100</v>
      </c>
      <c r="J163" s="36" t="s">
        <v>101</v>
      </c>
      <c r="K163" s="10" t="s">
        <v>559</v>
      </c>
      <c r="L163" s="10" t="s">
        <v>559</v>
      </c>
      <c r="M163" s="9" t="s">
        <v>100</v>
      </c>
      <c r="N163" s="10" t="s">
        <v>503</v>
      </c>
      <c r="O163" s="9" t="s">
        <v>100</v>
      </c>
      <c r="P163" s="10"/>
      <c r="Q163" s="10" t="s">
        <v>503</v>
      </c>
      <c r="R163" s="10" t="s">
        <v>119</v>
      </c>
      <c r="S163" s="10" t="s">
        <v>130</v>
      </c>
      <c r="T163" s="10" t="s">
        <v>120</v>
      </c>
      <c r="U163" s="10" t="s">
        <v>101</v>
      </c>
      <c r="V163" s="10" t="s">
        <v>121</v>
      </c>
      <c r="W163" s="10" t="s">
        <v>122</v>
      </c>
      <c r="X163" s="10" t="s">
        <v>123</v>
      </c>
      <c r="Y163" s="29">
        <v>1</v>
      </c>
      <c r="Z163" s="138" t="s">
        <v>584</v>
      </c>
      <c r="AA163" s="138">
        <v>40956</v>
      </c>
      <c r="AB163" s="9" t="s">
        <v>114</v>
      </c>
      <c r="AC163" s="9" t="s">
        <v>124</v>
      </c>
      <c r="AD163" s="15">
        <v>44651</v>
      </c>
      <c r="AE163" s="39" t="s">
        <v>125</v>
      </c>
      <c r="AF163" s="177">
        <v>6</v>
      </c>
      <c r="AG163" s="140">
        <v>0</v>
      </c>
      <c r="AH163" s="9">
        <v>0</v>
      </c>
      <c r="AI163" s="10" t="s">
        <v>126</v>
      </c>
      <c r="AJ163" s="10"/>
      <c r="AK163" s="29"/>
      <c r="AL163" s="12">
        <v>1</v>
      </c>
      <c r="AM163" s="10"/>
      <c r="AN163" s="12">
        <f>FAR[[#This Row],[Opening RUL]]+FAR[[#This Row],[RUL Adjustment]]</f>
        <v>1</v>
      </c>
      <c r="AO163" s="12">
        <f>FAR[[#This Row],[Opening RUL 30 June 2026]]-1</f>
        <v>0</v>
      </c>
      <c r="AP163" s="12" t="s">
        <v>1050</v>
      </c>
      <c r="AQ163" s="139"/>
      <c r="AR163" s="10" t="s">
        <v>127</v>
      </c>
      <c r="AS163" s="13">
        <v>900.6</v>
      </c>
      <c r="AT163" s="13"/>
      <c r="AU163" s="13">
        <v>0</v>
      </c>
      <c r="AV163" s="13">
        <v>0</v>
      </c>
      <c r="AW163" s="13">
        <v>0</v>
      </c>
      <c r="AX163" s="13">
        <v>900.6</v>
      </c>
      <c r="AY163" s="13">
        <v>50.033333333333417</v>
      </c>
      <c r="AZ163" s="13">
        <v>0</v>
      </c>
      <c r="BA163" s="13"/>
      <c r="BB163" s="13"/>
      <c r="BC163" s="13">
        <v>-850.56666666666661</v>
      </c>
      <c r="BD163" s="13"/>
      <c r="BE163" s="13" t="s">
        <v>114</v>
      </c>
      <c r="BF163" s="29"/>
      <c r="BG163" s="13"/>
      <c r="BH163" s="13">
        <f>-FAR[[#This Row],[Carrying value (opening balance)]]/FAR[[#This Row],[Opening RUL 30 June 2026]]</f>
        <v>-50.033333333333417</v>
      </c>
      <c r="BI163" s="13">
        <f>FAR[[#This Row],[Depreciation YTD]]/12</f>
        <v>-4.1694444444444514</v>
      </c>
      <c r="BJ163" s="13"/>
      <c r="BK163" s="13" t="s">
        <v>116</v>
      </c>
      <c r="BL163" s="13">
        <v>0</v>
      </c>
      <c r="BM163" s="13">
        <f>FAR[[#This Row],[Accumulated depreciation (Opening balance)]]+FAR[[#This Row],[Depreciation YTD]]+FAR[[#This Row],[Derecognitions (acc dep) '[+']]]</f>
        <v>-900.6</v>
      </c>
      <c r="BN163" s="13"/>
      <c r="BO163" s="13"/>
      <c r="BP163" s="13"/>
      <c r="BQ163" s="13"/>
      <c r="BR16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63" s="13">
        <f>FAR[[#This Row],[Cost Price (closing balance)]]+FAR[[#This Row],[Accumulated depreciation (Closing balance)]]+FAR[[#This Row],[Accumulated impairments (Closing balance)]]</f>
        <v>0</v>
      </c>
      <c r="BT163" s="13"/>
      <c r="BU163" s="13"/>
      <c r="BV163" s="13"/>
      <c r="BW163" s="10" t="s">
        <v>167</v>
      </c>
      <c r="BX163" s="9" t="s">
        <v>168</v>
      </c>
      <c r="BY163" s="10"/>
      <c r="BZ163" t="s">
        <v>995</v>
      </c>
      <c r="CA163"/>
      <c r="CB163" s="34"/>
      <c r="CC163" s="34"/>
      <c r="CD163" s="34"/>
      <c r="CE163" s="141"/>
    </row>
    <row r="164" spans="1:83">
      <c r="A164" s="35" t="s">
        <v>335</v>
      </c>
      <c r="B164" s="9" t="s">
        <v>877</v>
      </c>
      <c r="C164" s="9" t="s">
        <v>54</v>
      </c>
      <c r="D164" s="10" t="s">
        <v>1</v>
      </c>
      <c r="E164" s="9" t="s">
        <v>115</v>
      </c>
      <c r="F164" s="36" t="s">
        <v>99</v>
      </c>
      <c r="G164" s="9" t="s">
        <v>100</v>
      </c>
      <c r="H164" s="3" t="s">
        <v>128</v>
      </c>
      <c r="I164" s="9" t="s">
        <v>100</v>
      </c>
      <c r="J164" s="36" t="s">
        <v>101</v>
      </c>
      <c r="K164" s="10" t="s">
        <v>559</v>
      </c>
      <c r="L164" s="10" t="s">
        <v>559</v>
      </c>
      <c r="M164" s="9" t="s">
        <v>100</v>
      </c>
      <c r="N164" s="10" t="s">
        <v>503</v>
      </c>
      <c r="O164" s="9" t="s">
        <v>100</v>
      </c>
      <c r="P164" s="10"/>
      <c r="Q164" s="10" t="s">
        <v>503</v>
      </c>
      <c r="R164" s="10" t="s">
        <v>119</v>
      </c>
      <c r="S164" s="10" t="s">
        <v>130</v>
      </c>
      <c r="T164" s="10" t="s">
        <v>120</v>
      </c>
      <c r="U164" s="10" t="s">
        <v>101</v>
      </c>
      <c r="V164" s="10" t="s">
        <v>121</v>
      </c>
      <c r="W164" s="10" t="s">
        <v>122</v>
      </c>
      <c r="X164" s="10" t="s">
        <v>123</v>
      </c>
      <c r="Y164" s="29">
        <v>1</v>
      </c>
      <c r="Z164" s="138" t="s">
        <v>584</v>
      </c>
      <c r="AA164" s="138">
        <v>40956</v>
      </c>
      <c r="AB164" s="9" t="s">
        <v>114</v>
      </c>
      <c r="AC164" s="9" t="s">
        <v>124</v>
      </c>
      <c r="AD164" s="15">
        <v>44651</v>
      </c>
      <c r="AE164" s="39" t="s">
        <v>125</v>
      </c>
      <c r="AF164" s="177">
        <v>6</v>
      </c>
      <c r="AG164" s="140">
        <v>0</v>
      </c>
      <c r="AH164" s="9">
        <v>0</v>
      </c>
      <c r="AI164" s="10" t="s">
        <v>126</v>
      </c>
      <c r="AJ164" s="10"/>
      <c r="AK164" s="29"/>
      <c r="AL164" s="12">
        <v>1</v>
      </c>
      <c r="AM164" s="10"/>
      <c r="AN164" s="12">
        <f>FAR[[#This Row],[Opening RUL]]+FAR[[#This Row],[RUL Adjustment]]</f>
        <v>1</v>
      </c>
      <c r="AO164" s="12">
        <f>FAR[[#This Row],[Opening RUL 30 June 2026]]-1</f>
        <v>0</v>
      </c>
      <c r="AP164" s="12" t="s">
        <v>1052</v>
      </c>
      <c r="AQ164" s="139"/>
      <c r="AR164" s="10" t="s">
        <v>127</v>
      </c>
      <c r="AS164" s="13">
        <v>900.6</v>
      </c>
      <c r="AT164" s="13"/>
      <c r="AU164" s="13">
        <v>0</v>
      </c>
      <c r="AV164" s="13">
        <v>0</v>
      </c>
      <c r="AW164" s="13">
        <v>0</v>
      </c>
      <c r="AX164" s="13">
        <v>900.6</v>
      </c>
      <c r="AY164" s="13">
        <v>50.033333333333417</v>
      </c>
      <c r="AZ164" s="13">
        <v>0</v>
      </c>
      <c r="BA164" s="13"/>
      <c r="BB164" s="13"/>
      <c r="BC164" s="13">
        <v>-850.56666666666661</v>
      </c>
      <c r="BD164" s="13"/>
      <c r="BE164" s="13" t="s">
        <v>114</v>
      </c>
      <c r="BF164" s="29"/>
      <c r="BG164" s="13"/>
      <c r="BH164" s="13">
        <f>-FAR[[#This Row],[Carrying value (opening balance)]]/FAR[[#This Row],[Opening RUL 30 June 2026]]</f>
        <v>-50.033333333333417</v>
      </c>
      <c r="BI164" s="13">
        <f>FAR[[#This Row],[Depreciation YTD]]/12</f>
        <v>-4.1694444444444514</v>
      </c>
      <c r="BJ164" s="13"/>
      <c r="BK164" s="13" t="s">
        <v>116</v>
      </c>
      <c r="BL164" s="13">
        <v>0</v>
      </c>
      <c r="BM164" s="13">
        <f>FAR[[#This Row],[Accumulated depreciation (Opening balance)]]+FAR[[#This Row],[Depreciation YTD]]+FAR[[#This Row],[Derecognitions (acc dep) '[+']]]</f>
        <v>-900.6</v>
      </c>
      <c r="BN164" s="13"/>
      <c r="BO164" s="13"/>
      <c r="BP164" s="13"/>
      <c r="BQ164" s="13"/>
      <c r="BR16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64" s="13">
        <f>FAR[[#This Row],[Cost Price (closing balance)]]+FAR[[#This Row],[Accumulated depreciation (Closing balance)]]+FAR[[#This Row],[Accumulated impairments (Closing balance)]]</f>
        <v>0</v>
      </c>
      <c r="BT164" s="13"/>
      <c r="BU164" s="13"/>
      <c r="BV164" s="13"/>
      <c r="BW164" s="10" t="s">
        <v>167</v>
      </c>
      <c r="BX164" s="9" t="s">
        <v>168</v>
      </c>
      <c r="BY164" s="10"/>
      <c r="BZ164" t="s">
        <v>989</v>
      </c>
      <c r="CA164"/>
      <c r="CB164" s="34"/>
      <c r="CC164" s="34"/>
      <c r="CD164" s="34"/>
      <c r="CE164" s="141"/>
    </row>
    <row r="165" spans="1:83">
      <c r="A165" s="35">
        <v>1026</v>
      </c>
      <c r="B165" s="9" t="s">
        <v>851</v>
      </c>
      <c r="C165" s="9" t="s">
        <v>54</v>
      </c>
      <c r="D165" s="10" t="s">
        <v>1</v>
      </c>
      <c r="E165" s="9" t="s">
        <v>115</v>
      </c>
      <c r="F165" s="36" t="s">
        <v>99</v>
      </c>
      <c r="G165" s="9" t="s">
        <v>100</v>
      </c>
      <c r="H165" s="3" t="s">
        <v>128</v>
      </c>
      <c r="I165" s="9" t="s">
        <v>100</v>
      </c>
      <c r="J165" s="36" t="s">
        <v>101</v>
      </c>
      <c r="K165" s="10" t="s">
        <v>559</v>
      </c>
      <c r="L165" s="10" t="s">
        <v>559</v>
      </c>
      <c r="M165" s="9" t="s">
        <v>100</v>
      </c>
      <c r="N165" s="10" t="s">
        <v>503</v>
      </c>
      <c r="O165" s="9" t="s">
        <v>100</v>
      </c>
      <c r="P165" s="10"/>
      <c r="Q165" s="10" t="s">
        <v>799</v>
      </c>
      <c r="R165" s="10" t="s">
        <v>119</v>
      </c>
      <c r="S165" s="10" t="s">
        <v>130</v>
      </c>
      <c r="T165" s="10" t="s">
        <v>120</v>
      </c>
      <c r="U165" s="10" t="s">
        <v>101</v>
      </c>
      <c r="V165" s="10" t="s">
        <v>121</v>
      </c>
      <c r="W165" s="10" t="s">
        <v>122</v>
      </c>
      <c r="X165" s="10" t="s">
        <v>123</v>
      </c>
      <c r="Y165" s="29">
        <v>1</v>
      </c>
      <c r="Z165" s="138" t="s">
        <v>584</v>
      </c>
      <c r="AA165" s="138">
        <v>40956</v>
      </c>
      <c r="AB165" s="9" t="s">
        <v>114</v>
      </c>
      <c r="AC165" s="9" t="s">
        <v>124</v>
      </c>
      <c r="AD165" s="15">
        <v>44651</v>
      </c>
      <c r="AE165" s="39" t="s">
        <v>125</v>
      </c>
      <c r="AF165" s="177">
        <v>6</v>
      </c>
      <c r="AG165" s="140">
        <v>0</v>
      </c>
      <c r="AH165" s="9">
        <v>0</v>
      </c>
      <c r="AI165" s="10" t="s">
        <v>126</v>
      </c>
      <c r="AJ165" s="10"/>
      <c r="AK165" s="29"/>
      <c r="AL165" s="12">
        <v>1</v>
      </c>
      <c r="AM165" s="10"/>
      <c r="AN165" s="12">
        <f>FAR[[#This Row],[Opening RUL]]+FAR[[#This Row],[RUL Adjustment]]</f>
        <v>1</v>
      </c>
      <c r="AO165" s="12">
        <f>FAR[[#This Row],[Opening RUL 30 June 2026]]-1</f>
        <v>0</v>
      </c>
      <c r="AP165" s="12" t="s">
        <v>1050</v>
      </c>
      <c r="AQ165" s="139"/>
      <c r="AR165" s="10" t="s">
        <v>127</v>
      </c>
      <c r="AS165" s="13">
        <v>900.6</v>
      </c>
      <c r="AT165" s="13"/>
      <c r="AU165" s="13">
        <v>0</v>
      </c>
      <c r="AV165" s="13">
        <v>0</v>
      </c>
      <c r="AW165" s="13">
        <v>0</v>
      </c>
      <c r="AX165" s="13">
        <v>900.6</v>
      </c>
      <c r="AY165" s="13">
        <v>50.033333333333417</v>
      </c>
      <c r="AZ165" s="13">
        <v>0</v>
      </c>
      <c r="BA165" s="13"/>
      <c r="BB165" s="13"/>
      <c r="BC165" s="13">
        <v>-850.56666666666661</v>
      </c>
      <c r="BD165" s="13"/>
      <c r="BE165" s="13" t="s">
        <v>114</v>
      </c>
      <c r="BF165" s="29"/>
      <c r="BG165" s="13"/>
      <c r="BH165" s="13">
        <f>-FAR[[#This Row],[Carrying value (opening balance)]]/FAR[[#This Row],[Opening RUL 30 June 2026]]</f>
        <v>-50.033333333333417</v>
      </c>
      <c r="BI165" s="13">
        <f>FAR[[#This Row],[Depreciation YTD]]/12</f>
        <v>-4.1694444444444514</v>
      </c>
      <c r="BJ165" s="13"/>
      <c r="BK165" s="13" t="s">
        <v>116</v>
      </c>
      <c r="BL165" s="13">
        <v>0</v>
      </c>
      <c r="BM165" s="13">
        <f>FAR[[#This Row],[Accumulated depreciation (Opening balance)]]+FAR[[#This Row],[Depreciation YTD]]+FAR[[#This Row],[Derecognitions (acc dep) '[+']]]</f>
        <v>-900.6</v>
      </c>
      <c r="BN165" s="13"/>
      <c r="BO165" s="13"/>
      <c r="BP165" s="13"/>
      <c r="BQ165" s="13"/>
      <c r="BR16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65" s="13">
        <f>FAR[[#This Row],[Cost Price (closing balance)]]+FAR[[#This Row],[Accumulated depreciation (Closing balance)]]+FAR[[#This Row],[Accumulated impairments (Closing balance)]]</f>
        <v>0</v>
      </c>
      <c r="BT165" s="13"/>
      <c r="BU165" s="13"/>
      <c r="BV165" s="13"/>
      <c r="BW165" s="10" t="s">
        <v>167</v>
      </c>
      <c r="BX165" s="9" t="s">
        <v>168</v>
      </c>
      <c r="BY165" s="10"/>
      <c r="BZ165" t="s">
        <v>966</v>
      </c>
      <c r="CA165"/>
      <c r="CB165" s="34"/>
      <c r="CC165" s="34"/>
      <c r="CD165" s="34"/>
      <c r="CE165" s="141"/>
    </row>
    <row r="166" spans="1:83">
      <c r="A166" s="35" t="s">
        <v>336</v>
      </c>
      <c r="B166" s="9" t="s">
        <v>866</v>
      </c>
      <c r="C166" s="9" t="s">
        <v>54</v>
      </c>
      <c r="D166" s="10" t="s">
        <v>1</v>
      </c>
      <c r="E166" s="9" t="s">
        <v>115</v>
      </c>
      <c r="F166" s="36" t="s">
        <v>99</v>
      </c>
      <c r="G166" s="9" t="s">
        <v>100</v>
      </c>
      <c r="H166" s="3" t="s">
        <v>128</v>
      </c>
      <c r="I166" s="9" t="s">
        <v>100</v>
      </c>
      <c r="J166" s="36" t="s">
        <v>101</v>
      </c>
      <c r="K166" s="10" t="s">
        <v>559</v>
      </c>
      <c r="L166" s="10" t="s">
        <v>559</v>
      </c>
      <c r="M166" s="9" t="s">
        <v>100</v>
      </c>
      <c r="N166" s="10" t="s">
        <v>504</v>
      </c>
      <c r="O166" s="9" t="s">
        <v>100</v>
      </c>
      <c r="P166" s="10"/>
      <c r="Q166" s="10" t="s">
        <v>504</v>
      </c>
      <c r="R166" s="10" t="s">
        <v>119</v>
      </c>
      <c r="S166" s="10" t="s">
        <v>130</v>
      </c>
      <c r="T166" s="10" t="s">
        <v>120</v>
      </c>
      <c r="U166" s="10" t="s">
        <v>101</v>
      </c>
      <c r="V166" s="10" t="s">
        <v>121</v>
      </c>
      <c r="W166" s="10" t="s">
        <v>122</v>
      </c>
      <c r="X166" s="10" t="s">
        <v>123</v>
      </c>
      <c r="Y166" s="29">
        <v>1</v>
      </c>
      <c r="Z166" s="138" t="s">
        <v>584</v>
      </c>
      <c r="AA166" s="138">
        <v>40956</v>
      </c>
      <c r="AB166" s="9" t="s">
        <v>114</v>
      </c>
      <c r="AC166" s="9" t="s">
        <v>124</v>
      </c>
      <c r="AD166" s="15">
        <v>44651</v>
      </c>
      <c r="AE166" s="39" t="s">
        <v>125</v>
      </c>
      <c r="AF166" s="177">
        <v>6</v>
      </c>
      <c r="AG166" s="140">
        <v>0</v>
      </c>
      <c r="AH166" s="9">
        <v>0</v>
      </c>
      <c r="AI166" s="10" t="s">
        <v>126</v>
      </c>
      <c r="AJ166" s="10"/>
      <c r="AK166" s="29"/>
      <c r="AL166" s="12">
        <v>1</v>
      </c>
      <c r="AM166" s="10"/>
      <c r="AN166" s="12">
        <f>FAR[[#This Row],[Opening RUL]]+FAR[[#This Row],[RUL Adjustment]]</f>
        <v>1</v>
      </c>
      <c r="AO166" s="12">
        <f>FAR[[#This Row],[Opening RUL 30 June 2026]]-1</f>
        <v>0</v>
      </c>
      <c r="AP166" s="12" t="s">
        <v>1050</v>
      </c>
      <c r="AQ166" s="139"/>
      <c r="AR166" s="10" t="s">
        <v>127</v>
      </c>
      <c r="AS166" s="13">
        <v>832.2</v>
      </c>
      <c r="AT166" s="13"/>
      <c r="AU166" s="13">
        <v>0</v>
      </c>
      <c r="AV166" s="13">
        <v>0</v>
      </c>
      <c r="AW166" s="13">
        <v>0</v>
      </c>
      <c r="AX166" s="13">
        <v>832.2</v>
      </c>
      <c r="AY166" s="13">
        <v>46.233333333333348</v>
      </c>
      <c r="AZ166" s="13">
        <v>0</v>
      </c>
      <c r="BA166" s="13"/>
      <c r="BB166" s="13"/>
      <c r="BC166" s="13">
        <v>-785.9666666666667</v>
      </c>
      <c r="BD166" s="13"/>
      <c r="BE166" s="13" t="s">
        <v>114</v>
      </c>
      <c r="BF166" s="29"/>
      <c r="BG166" s="13"/>
      <c r="BH166" s="13">
        <f>-FAR[[#This Row],[Carrying value (opening balance)]]/FAR[[#This Row],[Opening RUL 30 June 2026]]</f>
        <v>-46.233333333333348</v>
      </c>
      <c r="BI166" s="13">
        <f>FAR[[#This Row],[Depreciation YTD]]/12</f>
        <v>-3.8527777777777792</v>
      </c>
      <c r="BJ166" s="13"/>
      <c r="BK166" s="13" t="s">
        <v>116</v>
      </c>
      <c r="BL166" s="13">
        <v>0</v>
      </c>
      <c r="BM166" s="13">
        <f>FAR[[#This Row],[Accumulated depreciation (Opening balance)]]+FAR[[#This Row],[Depreciation YTD]]+FAR[[#This Row],[Derecognitions (acc dep) '[+']]]</f>
        <v>-832.2</v>
      </c>
      <c r="BN166" s="13"/>
      <c r="BO166" s="13"/>
      <c r="BP166" s="13"/>
      <c r="BQ166" s="13"/>
      <c r="BR16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66" s="13">
        <f>FAR[[#This Row],[Cost Price (closing balance)]]+FAR[[#This Row],[Accumulated depreciation (Closing balance)]]+FAR[[#This Row],[Accumulated impairments (Closing balance)]]</f>
        <v>0</v>
      </c>
      <c r="BT166" s="13"/>
      <c r="BU166" s="13"/>
      <c r="BV166" s="13"/>
      <c r="BW166" s="10" t="s">
        <v>167</v>
      </c>
      <c r="BX166" s="9" t="s">
        <v>168</v>
      </c>
      <c r="BY166" s="10"/>
      <c r="BZ166" t="s">
        <v>950</v>
      </c>
      <c r="CA166"/>
      <c r="CB166" s="34"/>
      <c r="CC166" s="34"/>
      <c r="CD166" s="34"/>
      <c r="CE166" s="141"/>
    </row>
    <row r="167" spans="1:83">
      <c r="A167" s="35" t="s">
        <v>337</v>
      </c>
      <c r="B167" s="9" t="s">
        <v>905</v>
      </c>
      <c r="C167" s="9" t="s">
        <v>54</v>
      </c>
      <c r="D167" s="10" t="s">
        <v>1</v>
      </c>
      <c r="E167" s="9" t="s">
        <v>115</v>
      </c>
      <c r="F167" s="36" t="s">
        <v>99</v>
      </c>
      <c r="G167" s="9" t="s">
        <v>100</v>
      </c>
      <c r="H167" s="3" t="s">
        <v>128</v>
      </c>
      <c r="I167" s="9" t="s">
        <v>100</v>
      </c>
      <c r="J167" s="36" t="s">
        <v>101</v>
      </c>
      <c r="K167" s="10" t="s">
        <v>559</v>
      </c>
      <c r="L167" s="10" t="s">
        <v>559</v>
      </c>
      <c r="M167" s="9" t="s">
        <v>100</v>
      </c>
      <c r="N167" s="10" t="s">
        <v>505</v>
      </c>
      <c r="O167" s="9" t="s">
        <v>100</v>
      </c>
      <c r="P167" s="10"/>
      <c r="Q167" s="10" t="s">
        <v>505</v>
      </c>
      <c r="R167" s="10" t="s">
        <v>119</v>
      </c>
      <c r="S167" s="10" t="s">
        <v>130</v>
      </c>
      <c r="T167" s="10" t="s">
        <v>120</v>
      </c>
      <c r="U167" s="10" t="s">
        <v>101</v>
      </c>
      <c r="V167" s="10" t="s">
        <v>121</v>
      </c>
      <c r="W167" s="10" t="s">
        <v>122</v>
      </c>
      <c r="X167" s="10" t="s">
        <v>123</v>
      </c>
      <c r="Y167" s="29">
        <v>1</v>
      </c>
      <c r="Z167" s="138" t="s">
        <v>584</v>
      </c>
      <c r="AA167" s="138">
        <v>40956</v>
      </c>
      <c r="AB167" s="9" t="s">
        <v>114</v>
      </c>
      <c r="AC167" s="9" t="s">
        <v>124</v>
      </c>
      <c r="AD167" s="15">
        <v>44651</v>
      </c>
      <c r="AE167" s="39" t="s">
        <v>125</v>
      </c>
      <c r="AF167" s="177">
        <v>6</v>
      </c>
      <c r="AG167" s="140">
        <v>0</v>
      </c>
      <c r="AH167" s="9">
        <v>0</v>
      </c>
      <c r="AI167" s="10" t="s">
        <v>126</v>
      </c>
      <c r="AJ167" s="10"/>
      <c r="AK167" s="29"/>
      <c r="AL167" s="12">
        <v>1</v>
      </c>
      <c r="AM167" s="10"/>
      <c r="AN167" s="12">
        <f>FAR[[#This Row],[Opening RUL]]+FAR[[#This Row],[RUL Adjustment]]</f>
        <v>1</v>
      </c>
      <c r="AO167" s="12">
        <f>FAR[[#This Row],[Opening RUL 30 June 2026]]-1</f>
        <v>0</v>
      </c>
      <c r="AP167" s="12" t="s">
        <v>1050</v>
      </c>
      <c r="AQ167" s="139"/>
      <c r="AR167" s="10" t="s">
        <v>127</v>
      </c>
      <c r="AS167" s="13">
        <v>2040.6</v>
      </c>
      <c r="AT167" s="13"/>
      <c r="AU167" s="13">
        <v>0</v>
      </c>
      <c r="AV167" s="13">
        <v>0</v>
      </c>
      <c r="AW167" s="13">
        <v>0</v>
      </c>
      <c r="AX167" s="13">
        <v>2040.6</v>
      </c>
      <c r="AY167" s="13">
        <v>113.36666666666679</v>
      </c>
      <c r="AZ167" s="13">
        <v>0</v>
      </c>
      <c r="BA167" s="13"/>
      <c r="BB167" s="13"/>
      <c r="BC167" s="13">
        <v>-1927.2333333333331</v>
      </c>
      <c r="BD167" s="13"/>
      <c r="BE167" s="13" t="s">
        <v>114</v>
      </c>
      <c r="BF167" s="29"/>
      <c r="BG167" s="13"/>
      <c r="BH167" s="13">
        <f>-FAR[[#This Row],[Carrying value (opening balance)]]/FAR[[#This Row],[Opening RUL 30 June 2026]]</f>
        <v>-113.36666666666679</v>
      </c>
      <c r="BI167" s="13">
        <f>FAR[[#This Row],[Depreciation YTD]]/12</f>
        <v>-9.4472222222222317</v>
      </c>
      <c r="BJ167" s="13"/>
      <c r="BK167" s="13" t="s">
        <v>116</v>
      </c>
      <c r="BL167" s="13">
        <v>0</v>
      </c>
      <c r="BM167" s="13">
        <f>FAR[[#This Row],[Accumulated depreciation (Opening balance)]]+FAR[[#This Row],[Depreciation YTD]]+FAR[[#This Row],[Derecognitions (acc dep) '[+']]]</f>
        <v>-2040.6</v>
      </c>
      <c r="BN167" s="13"/>
      <c r="BO167" s="13"/>
      <c r="BP167" s="13"/>
      <c r="BQ167" s="13"/>
      <c r="BR16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67" s="13">
        <f>FAR[[#This Row],[Cost Price (closing balance)]]+FAR[[#This Row],[Accumulated depreciation (Closing balance)]]+FAR[[#This Row],[Accumulated impairments (Closing balance)]]</f>
        <v>0</v>
      </c>
      <c r="BT167" s="13"/>
      <c r="BU167" s="13"/>
      <c r="BV167" s="13"/>
      <c r="BW167" s="10" t="s">
        <v>167</v>
      </c>
      <c r="BX167" s="9" t="s">
        <v>168</v>
      </c>
      <c r="BY167" s="10"/>
      <c r="BZ167" t="s">
        <v>996</v>
      </c>
      <c r="CA167"/>
      <c r="CB167" s="34"/>
      <c r="CC167" s="34"/>
      <c r="CD167" s="34"/>
      <c r="CE167" s="141"/>
    </row>
    <row r="168" spans="1:83">
      <c r="A168" s="35" t="s">
        <v>338</v>
      </c>
      <c r="B168" s="9" t="s">
        <v>866</v>
      </c>
      <c r="C168" s="9" t="s">
        <v>54</v>
      </c>
      <c r="D168" s="10" t="s">
        <v>1</v>
      </c>
      <c r="E168" s="9" t="s">
        <v>115</v>
      </c>
      <c r="F168" s="36" t="s">
        <v>99</v>
      </c>
      <c r="G168" s="9" t="s">
        <v>100</v>
      </c>
      <c r="H168" s="3" t="s">
        <v>128</v>
      </c>
      <c r="I168" s="9" t="s">
        <v>100</v>
      </c>
      <c r="J168" s="36" t="s">
        <v>101</v>
      </c>
      <c r="K168" s="10" t="s">
        <v>559</v>
      </c>
      <c r="L168" s="10" t="s">
        <v>559</v>
      </c>
      <c r="M168" s="9" t="s">
        <v>100</v>
      </c>
      <c r="N168" s="10" t="s">
        <v>505</v>
      </c>
      <c r="O168" s="9" t="s">
        <v>100</v>
      </c>
      <c r="P168" s="10"/>
      <c r="Q168" s="10" t="s">
        <v>505</v>
      </c>
      <c r="R168" s="10" t="s">
        <v>119</v>
      </c>
      <c r="S168" s="10" t="s">
        <v>130</v>
      </c>
      <c r="T168" s="10" t="s">
        <v>120</v>
      </c>
      <c r="U168" s="10" t="s">
        <v>101</v>
      </c>
      <c r="V168" s="10" t="s">
        <v>121</v>
      </c>
      <c r="W168" s="10" t="s">
        <v>122</v>
      </c>
      <c r="X168" s="10" t="s">
        <v>123</v>
      </c>
      <c r="Y168" s="29">
        <v>1</v>
      </c>
      <c r="Z168" s="138" t="s">
        <v>584</v>
      </c>
      <c r="AA168" s="138">
        <v>40956</v>
      </c>
      <c r="AB168" s="9" t="s">
        <v>114</v>
      </c>
      <c r="AC168" s="9" t="s">
        <v>124</v>
      </c>
      <c r="AD168" s="15">
        <v>44651</v>
      </c>
      <c r="AE168" s="39" t="s">
        <v>125</v>
      </c>
      <c r="AF168" s="177">
        <v>6</v>
      </c>
      <c r="AG168" s="140">
        <v>0</v>
      </c>
      <c r="AH168" s="9">
        <v>0</v>
      </c>
      <c r="AI168" s="10" t="s">
        <v>126</v>
      </c>
      <c r="AJ168" s="10"/>
      <c r="AK168" s="29"/>
      <c r="AL168" s="12">
        <v>1</v>
      </c>
      <c r="AM168" s="10"/>
      <c r="AN168" s="12">
        <f>FAR[[#This Row],[Opening RUL]]+FAR[[#This Row],[RUL Adjustment]]</f>
        <v>1</v>
      </c>
      <c r="AO168" s="12">
        <f>FAR[[#This Row],[Opening RUL 30 June 2026]]-1</f>
        <v>0</v>
      </c>
      <c r="AP168" s="12" t="s">
        <v>1050</v>
      </c>
      <c r="AQ168" s="139"/>
      <c r="AR168" s="10" t="s">
        <v>127</v>
      </c>
      <c r="AS168" s="13">
        <v>2040.6</v>
      </c>
      <c r="AT168" s="13"/>
      <c r="AU168" s="13">
        <v>0</v>
      </c>
      <c r="AV168" s="13">
        <v>0</v>
      </c>
      <c r="AW168" s="13">
        <v>0</v>
      </c>
      <c r="AX168" s="13">
        <v>2040.6</v>
      </c>
      <c r="AY168" s="13">
        <v>113.36666666666679</v>
      </c>
      <c r="AZ168" s="13">
        <v>0</v>
      </c>
      <c r="BA168" s="13"/>
      <c r="BB168" s="13"/>
      <c r="BC168" s="13">
        <v>-1927.2333333333331</v>
      </c>
      <c r="BD168" s="13"/>
      <c r="BE168" s="13" t="s">
        <v>114</v>
      </c>
      <c r="BF168" s="29"/>
      <c r="BG168" s="13"/>
      <c r="BH168" s="13">
        <f>-FAR[[#This Row],[Carrying value (opening balance)]]/FAR[[#This Row],[Opening RUL 30 June 2026]]</f>
        <v>-113.36666666666679</v>
      </c>
      <c r="BI168" s="13">
        <f>FAR[[#This Row],[Depreciation YTD]]/12</f>
        <v>-9.4472222222222317</v>
      </c>
      <c r="BJ168" s="13"/>
      <c r="BK168" s="13" t="s">
        <v>116</v>
      </c>
      <c r="BL168" s="13">
        <v>0</v>
      </c>
      <c r="BM168" s="13">
        <f>FAR[[#This Row],[Accumulated depreciation (Opening balance)]]+FAR[[#This Row],[Depreciation YTD]]+FAR[[#This Row],[Derecognitions (acc dep) '[+']]]</f>
        <v>-2040.6</v>
      </c>
      <c r="BN168" s="13"/>
      <c r="BO168" s="13"/>
      <c r="BP168" s="13"/>
      <c r="BQ168" s="13"/>
      <c r="BR16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68" s="13">
        <f>FAR[[#This Row],[Cost Price (closing balance)]]+FAR[[#This Row],[Accumulated depreciation (Closing balance)]]+FAR[[#This Row],[Accumulated impairments (Closing balance)]]</f>
        <v>0</v>
      </c>
      <c r="BT168" s="13"/>
      <c r="BU168" s="13"/>
      <c r="BV168" s="13"/>
      <c r="BW168" s="10" t="s">
        <v>167</v>
      </c>
      <c r="BX168" s="9" t="s">
        <v>168</v>
      </c>
      <c r="BY168" s="10"/>
      <c r="BZ168" t="s">
        <v>950</v>
      </c>
      <c r="CA168"/>
      <c r="CB168" s="34"/>
      <c r="CC168" s="34"/>
      <c r="CD168" s="34"/>
      <c r="CE168" s="141"/>
    </row>
    <row r="169" spans="1:83">
      <c r="A169" s="35" t="s">
        <v>339</v>
      </c>
      <c r="B169" s="9" t="s">
        <v>866</v>
      </c>
      <c r="C169" s="9" t="s">
        <v>54</v>
      </c>
      <c r="D169" s="10" t="s">
        <v>1</v>
      </c>
      <c r="E169" s="9" t="s">
        <v>115</v>
      </c>
      <c r="F169" s="36" t="s">
        <v>99</v>
      </c>
      <c r="G169" s="9" t="s">
        <v>100</v>
      </c>
      <c r="H169" s="3" t="s">
        <v>128</v>
      </c>
      <c r="I169" s="9" t="s">
        <v>100</v>
      </c>
      <c r="J169" s="36" t="s">
        <v>101</v>
      </c>
      <c r="K169" s="10" t="s">
        <v>559</v>
      </c>
      <c r="L169" s="10" t="s">
        <v>559</v>
      </c>
      <c r="M169" s="9" t="s">
        <v>100</v>
      </c>
      <c r="N169" s="10" t="s">
        <v>505</v>
      </c>
      <c r="O169" s="9" t="s">
        <v>100</v>
      </c>
      <c r="P169" s="10"/>
      <c r="Q169" s="10" t="s">
        <v>505</v>
      </c>
      <c r="R169" s="10" t="s">
        <v>119</v>
      </c>
      <c r="S169" s="10" t="s">
        <v>130</v>
      </c>
      <c r="T169" s="10" t="s">
        <v>120</v>
      </c>
      <c r="U169" s="10" t="s">
        <v>101</v>
      </c>
      <c r="V169" s="10" t="s">
        <v>121</v>
      </c>
      <c r="W169" s="10" t="s">
        <v>122</v>
      </c>
      <c r="X169" s="10" t="s">
        <v>123</v>
      </c>
      <c r="Y169" s="29">
        <v>1</v>
      </c>
      <c r="Z169" s="138" t="s">
        <v>584</v>
      </c>
      <c r="AA169" s="138">
        <v>40956</v>
      </c>
      <c r="AB169" s="9" t="s">
        <v>114</v>
      </c>
      <c r="AC169" s="9" t="s">
        <v>124</v>
      </c>
      <c r="AD169" s="15">
        <v>44651</v>
      </c>
      <c r="AE169" s="39" t="s">
        <v>125</v>
      </c>
      <c r="AF169" s="177">
        <v>6</v>
      </c>
      <c r="AG169" s="140">
        <v>0</v>
      </c>
      <c r="AH169" s="9">
        <v>0</v>
      </c>
      <c r="AI169" s="10" t="s">
        <v>126</v>
      </c>
      <c r="AJ169" s="10"/>
      <c r="AK169" s="29"/>
      <c r="AL169" s="12">
        <v>1</v>
      </c>
      <c r="AM169" s="10"/>
      <c r="AN169" s="12">
        <f>FAR[[#This Row],[Opening RUL]]+FAR[[#This Row],[RUL Adjustment]]</f>
        <v>1</v>
      </c>
      <c r="AO169" s="12">
        <f>FAR[[#This Row],[Opening RUL 30 June 2026]]-1</f>
        <v>0</v>
      </c>
      <c r="AP169" s="12" t="s">
        <v>1050</v>
      </c>
      <c r="AQ169" s="139"/>
      <c r="AR169" s="10" t="s">
        <v>127</v>
      </c>
      <c r="AS169" s="13">
        <v>2040.6</v>
      </c>
      <c r="AT169" s="13"/>
      <c r="AU169" s="13">
        <v>0</v>
      </c>
      <c r="AV169" s="13">
        <v>0</v>
      </c>
      <c r="AW169" s="13">
        <v>0</v>
      </c>
      <c r="AX169" s="13">
        <v>2040.6</v>
      </c>
      <c r="AY169" s="13">
        <v>113.36666666666679</v>
      </c>
      <c r="AZ169" s="13">
        <v>0</v>
      </c>
      <c r="BA169" s="13"/>
      <c r="BB169" s="13"/>
      <c r="BC169" s="13">
        <v>-1927.2333333333331</v>
      </c>
      <c r="BD169" s="13"/>
      <c r="BE169" s="13" t="s">
        <v>114</v>
      </c>
      <c r="BF169" s="29"/>
      <c r="BG169" s="13"/>
      <c r="BH169" s="13">
        <f>-FAR[[#This Row],[Carrying value (opening balance)]]/FAR[[#This Row],[Opening RUL 30 June 2026]]</f>
        <v>-113.36666666666679</v>
      </c>
      <c r="BI169" s="13">
        <f>FAR[[#This Row],[Depreciation YTD]]/12</f>
        <v>-9.4472222222222317</v>
      </c>
      <c r="BJ169" s="13"/>
      <c r="BK169" s="13" t="s">
        <v>116</v>
      </c>
      <c r="BL169" s="13">
        <v>0</v>
      </c>
      <c r="BM169" s="13">
        <f>FAR[[#This Row],[Accumulated depreciation (Opening balance)]]+FAR[[#This Row],[Depreciation YTD]]+FAR[[#This Row],[Derecognitions (acc dep) '[+']]]</f>
        <v>-2040.6</v>
      </c>
      <c r="BN169" s="13"/>
      <c r="BO169" s="13"/>
      <c r="BP169" s="13"/>
      <c r="BQ169" s="13"/>
      <c r="BR16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69" s="13">
        <f>FAR[[#This Row],[Cost Price (closing balance)]]+FAR[[#This Row],[Accumulated depreciation (Closing balance)]]+FAR[[#This Row],[Accumulated impairments (Closing balance)]]</f>
        <v>0</v>
      </c>
      <c r="BT169" s="13"/>
      <c r="BU169" s="13"/>
      <c r="BV169" s="13"/>
      <c r="BW169" s="10" t="s">
        <v>167</v>
      </c>
      <c r="BX169" s="9" t="s">
        <v>168</v>
      </c>
      <c r="BY169" s="10"/>
      <c r="BZ169" t="s">
        <v>950</v>
      </c>
      <c r="CA169"/>
      <c r="CB169" s="34"/>
      <c r="CC169" s="34"/>
      <c r="CD169" s="34"/>
      <c r="CE169" s="141"/>
    </row>
    <row r="170" spans="1:83">
      <c r="A170" s="35" t="s">
        <v>340</v>
      </c>
      <c r="B170" s="9" t="s">
        <v>859</v>
      </c>
      <c r="C170" s="9" t="s">
        <v>54</v>
      </c>
      <c r="D170" s="10" t="s">
        <v>1</v>
      </c>
      <c r="E170" s="9" t="s">
        <v>115</v>
      </c>
      <c r="F170" s="36" t="s">
        <v>99</v>
      </c>
      <c r="G170" s="9" t="s">
        <v>100</v>
      </c>
      <c r="H170" s="3" t="s">
        <v>128</v>
      </c>
      <c r="I170" s="9" t="s">
        <v>100</v>
      </c>
      <c r="J170" s="36" t="s">
        <v>101</v>
      </c>
      <c r="K170" s="10" t="s">
        <v>559</v>
      </c>
      <c r="L170" s="10" t="s">
        <v>559</v>
      </c>
      <c r="M170" s="9" t="s">
        <v>100</v>
      </c>
      <c r="N170" s="10" t="s">
        <v>506</v>
      </c>
      <c r="O170" s="9" t="s">
        <v>100</v>
      </c>
      <c r="P170" s="10"/>
      <c r="Q170" s="10" t="s">
        <v>506</v>
      </c>
      <c r="R170" s="10" t="s">
        <v>119</v>
      </c>
      <c r="S170" s="10" t="s">
        <v>130</v>
      </c>
      <c r="T170" s="10" t="s">
        <v>120</v>
      </c>
      <c r="U170" s="10" t="s">
        <v>101</v>
      </c>
      <c r="V170" s="10" t="s">
        <v>121</v>
      </c>
      <c r="W170" s="10" t="s">
        <v>122</v>
      </c>
      <c r="X170" s="10" t="s">
        <v>123</v>
      </c>
      <c r="Y170" s="29">
        <v>1</v>
      </c>
      <c r="Z170" s="138" t="s">
        <v>584</v>
      </c>
      <c r="AA170" s="138">
        <v>40956</v>
      </c>
      <c r="AB170" s="9" t="s">
        <v>114</v>
      </c>
      <c r="AC170" s="9" t="s">
        <v>124</v>
      </c>
      <c r="AD170" s="15">
        <v>44651</v>
      </c>
      <c r="AE170" s="39" t="s">
        <v>125</v>
      </c>
      <c r="AF170" s="177">
        <v>6</v>
      </c>
      <c r="AG170" s="140">
        <v>0</v>
      </c>
      <c r="AH170" s="9">
        <v>0</v>
      </c>
      <c r="AI170" s="10" t="s">
        <v>126</v>
      </c>
      <c r="AJ170" s="10"/>
      <c r="AK170" s="29"/>
      <c r="AL170" s="12">
        <v>1</v>
      </c>
      <c r="AM170" s="10"/>
      <c r="AN170" s="12">
        <f>FAR[[#This Row],[Opening RUL]]+FAR[[#This Row],[RUL Adjustment]]</f>
        <v>1</v>
      </c>
      <c r="AO170" s="12">
        <f>FAR[[#This Row],[Opening RUL 30 June 2026]]-1</f>
        <v>0</v>
      </c>
      <c r="AP170" s="12" t="s">
        <v>1054</v>
      </c>
      <c r="AQ170" s="139"/>
      <c r="AR170" s="10" t="s">
        <v>127</v>
      </c>
      <c r="AS170" s="13">
        <v>2793</v>
      </c>
      <c r="AT170" s="13"/>
      <c r="AU170" s="13">
        <v>0</v>
      </c>
      <c r="AV170" s="13">
        <v>0</v>
      </c>
      <c r="AW170" s="13">
        <v>0</v>
      </c>
      <c r="AX170" s="13">
        <v>2793</v>
      </c>
      <c r="AY170" s="13">
        <v>155.16666666666697</v>
      </c>
      <c r="AZ170" s="13">
        <v>0</v>
      </c>
      <c r="BA170" s="13"/>
      <c r="BB170" s="13"/>
      <c r="BC170" s="13">
        <v>-2637.833333333333</v>
      </c>
      <c r="BD170" s="13"/>
      <c r="BE170" s="13" t="s">
        <v>114</v>
      </c>
      <c r="BF170" s="29"/>
      <c r="BG170" s="13"/>
      <c r="BH170" s="13">
        <f>-FAR[[#This Row],[Carrying value (opening balance)]]/FAR[[#This Row],[Opening RUL 30 June 2026]]</f>
        <v>-155.16666666666697</v>
      </c>
      <c r="BI170" s="13">
        <f>FAR[[#This Row],[Depreciation YTD]]/12</f>
        <v>-12.93055555555558</v>
      </c>
      <c r="BJ170" s="13"/>
      <c r="BK170" s="13" t="s">
        <v>116</v>
      </c>
      <c r="BL170" s="13">
        <v>0</v>
      </c>
      <c r="BM170" s="13">
        <f>FAR[[#This Row],[Accumulated depreciation (Opening balance)]]+FAR[[#This Row],[Depreciation YTD]]+FAR[[#This Row],[Derecognitions (acc dep) '[+']]]</f>
        <v>-2793</v>
      </c>
      <c r="BN170" s="13"/>
      <c r="BO170" s="13"/>
      <c r="BP170" s="13"/>
      <c r="BQ170" s="13"/>
      <c r="BR17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70" s="13">
        <f>FAR[[#This Row],[Cost Price (closing balance)]]+FAR[[#This Row],[Accumulated depreciation (Closing balance)]]+FAR[[#This Row],[Accumulated impairments (Closing balance)]]</f>
        <v>0</v>
      </c>
      <c r="BT170" s="13"/>
      <c r="BU170" s="13"/>
      <c r="BV170" s="13"/>
      <c r="BW170" s="10" t="s">
        <v>167</v>
      </c>
      <c r="BX170" s="9" t="s">
        <v>168</v>
      </c>
      <c r="BY170" s="10"/>
      <c r="BZ170" t="s">
        <v>997</v>
      </c>
      <c r="CA170"/>
      <c r="CB170" s="34"/>
      <c r="CC170" s="34"/>
      <c r="CD170" s="34"/>
      <c r="CE170" s="141"/>
    </row>
    <row r="171" spans="1:83">
      <c r="A171" s="35" t="s">
        <v>341</v>
      </c>
      <c r="B171" s="9" t="s">
        <v>874</v>
      </c>
      <c r="C171" s="9" t="s">
        <v>54</v>
      </c>
      <c r="D171" s="10" t="s">
        <v>1</v>
      </c>
      <c r="E171" s="9" t="s">
        <v>115</v>
      </c>
      <c r="F171" s="36" t="s">
        <v>99</v>
      </c>
      <c r="G171" s="9" t="s">
        <v>100</v>
      </c>
      <c r="H171" s="3" t="s">
        <v>128</v>
      </c>
      <c r="I171" s="9" t="s">
        <v>100</v>
      </c>
      <c r="J171" s="36" t="s">
        <v>101</v>
      </c>
      <c r="K171" s="10" t="s">
        <v>559</v>
      </c>
      <c r="L171" s="10" t="s">
        <v>559</v>
      </c>
      <c r="M171" s="9" t="s">
        <v>100</v>
      </c>
      <c r="N171" s="10" t="s">
        <v>506</v>
      </c>
      <c r="O171" s="9" t="s">
        <v>100</v>
      </c>
      <c r="P171" s="10"/>
      <c r="Q171" s="10" t="s">
        <v>506</v>
      </c>
      <c r="R171" s="10" t="s">
        <v>119</v>
      </c>
      <c r="S171" s="10" t="s">
        <v>130</v>
      </c>
      <c r="T171" s="10" t="s">
        <v>120</v>
      </c>
      <c r="U171" s="10" t="s">
        <v>101</v>
      </c>
      <c r="V171" s="10" t="s">
        <v>121</v>
      </c>
      <c r="W171" s="10" t="s">
        <v>122</v>
      </c>
      <c r="X171" s="10" t="s">
        <v>123</v>
      </c>
      <c r="Y171" s="29">
        <v>1</v>
      </c>
      <c r="Z171" s="138" t="s">
        <v>584</v>
      </c>
      <c r="AA171" s="138">
        <v>40956</v>
      </c>
      <c r="AB171" s="9" t="s">
        <v>114</v>
      </c>
      <c r="AC171" s="9" t="s">
        <v>124</v>
      </c>
      <c r="AD171" s="15">
        <v>44651</v>
      </c>
      <c r="AE171" s="39" t="s">
        <v>125</v>
      </c>
      <c r="AF171" s="177">
        <v>6</v>
      </c>
      <c r="AG171" s="140">
        <v>0</v>
      </c>
      <c r="AH171" s="9">
        <v>0</v>
      </c>
      <c r="AI171" s="10" t="s">
        <v>126</v>
      </c>
      <c r="AJ171" s="10"/>
      <c r="AK171" s="29"/>
      <c r="AL171" s="12">
        <v>1</v>
      </c>
      <c r="AM171" s="10"/>
      <c r="AN171" s="12">
        <f>FAR[[#This Row],[Opening RUL]]+FAR[[#This Row],[RUL Adjustment]]</f>
        <v>1</v>
      </c>
      <c r="AO171" s="12">
        <f>FAR[[#This Row],[Opening RUL 30 June 2026]]-1</f>
        <v>0</v>
      </c>
      <c r="AP171" s="12" t="s">
        <v>1051</v>
      </c>
      <c r="AQ171" s="139"/>
      <c r="AR171" s="10" t="s">
        <v>127</v>
      </c>
      <c r="AS171" s="13">
        <v>2793</v>
      </c>
      <c r="AT171" s="13"/>
      <c r="AU171" s="13">
        <v>0</v>
      </c>
      <c r="AV171" s="13">
        <v>0</v>
      </c>
      <c r="AW171" s="13">
        <v>0</v>
      </c>
      <c r="AX171" s="13">
        <v>2793</v>
      </c>
      <c r="AY171" s="13">
        <v>155.16666666666697</v>
      </c>
      <c r="AZ171" s="13">
        <v>0</v>
      </c>
      <c r="BA171" s="13"/>
      <c r="BB171" s="13"/>
      <c r="BC171" s="13">
        <v>-2637.833333333333</v>
      </c>
      <c r="BD171" s="13"/>
      <c r="BE171" s="13" t="s">
        <v>114</v>
      </c>
      <c r="BF171" s="29"/>
      <c r="BG171" s="13"/>
      <c r="BH171" s="13">
        <f>-FAR[[#This Row],[Carrying value (opening balance)]]/FAR[[#This Row],[Opening RUL 30 June 2026]]</f>
        <v>-155.16666666666697</v>
      </c>
      <c r="BI171" s="13">
        <f>FAR[[#This Row],[Depreciation YTD]]/12</f>
        <v>-12.93055555555558</v>
      </c>
      <c r="BJ171" s="13"/>
      <c r="BK171" s="13" t="s">
        <v>116</v>
      </c>
      <c r="BL171" s="13">
        <v>0</v>
      </c>
      <c r="BM171" s="13">
        <f>FAR[[#This Row],[Accumulated depreciation (Opening balance)]]+FAR[[#This Row],[Depreciation YTD]]+FAR[[#This Row],[Derecognitions (acc dep) '[+']]]</f>
        <v>-2793</v>
      </c>
      <c r="BN171" s="13"/>
      <c r="BO171" s="13"/>
      <c r="BP171" s="13"/>
      <c r="BQ171" s="13"/>
      <c r="BR17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71" s="13">
        <f>FAR[[#This Row],[Cost Price (closing balance)]]+FAR[[#This Row],[Accumulated depreciation (Closing balance)]]+FAR[[#This Row],[Accumulated impairments (Closing balance)]]</f>
        <v>0</v>
      </c>
      <c r="BT171" s="13"/>
      <c r="BU171" s="13"/>
      <c r="BV171" s="13"/>
      <c r="BW171" s="10" t="s">
        <v>167</v>
      </c>
      <c r="BX171" s="9" t="s">
        <v>168</v>
      </c>
      <c r="BY171" s="10"/>
      <c r="BZ171" t="s">
        <v>959</v>
      </c>
      <c r="CA171"/>
      <c r="CB171" s="34"/>
      <c r="CC171" s="34"/>
      <c r="CD171" s="34"/>
      <c r="CE171" s="141"/>
    </row>
    <row r="172" spans="1:83">
      <c r="A172" s="35" t="s">
        <v>342</v>
      </c>
      <c r="B172" s="9" t="s">
        <v>851</v>
      </c>
      <c r="C172" s="9" t="s">
        <v>54</v>
      </c>
      <c r="D172" s="10" t="s">
        <v>1</v>
      </c>
      <c r="E172" s="9" t="s">
        <v>115</v>
      </c>
      <c r="F172" s="36" t="s">
        <v>99</v>
      </c>
      <c r="G172" s="9" t="s">
        <v>100</v>
      </c>
      <c r="H172" s="3" t="s">
        <v>128</v>
      </c>
      <c r="I172" s="9" t="s">
        <v>100</v>
      </c>
      <c r="J172" s="36" t="s">
        <v>101</v>
      </c>
      <c r="K172" s="10" t="s">
        <v>559</v>
      </c>
      <c r="L172" s="10" t="s">
        <v>559</v>
      </c>
      <c r="M172" s="9" t="s">
        <v>100</v>
      </c>
      <c r="N172" s="10" t="s">
        <v>507</v>
      </c>
      <c r="O172" s="9" t="s">
        <v>100</v>
      </c>
      <c r="P172" s="10"/>
      <c r="Q172" s="10" t="s">
        <v>507</v>
      </c>
      <c r="R172" s="10" t="s">
        <v>119</v>
      </c>
      <c r="S172" s="10" t="s">
        <v>130</v>
      </c>
      <c r="T172" s="10" t="s">
        <v>120</v>
      </c>
      <c r="U172" s="10" t="s">
        <v>101</v>
      </c>
      <c r="V172" s="10" t="s">
        <v>121</v>
      </c>
      <c r="W172" s="10" t="s">
        <v>122</v>
      </c>
      <c r="X172" s="10" t="s">
        <v>123</v>
      </c>
      <c r="Y172" s="29">
        <v>1</v>
      </c>
      <c r="Z172" s="138" t="s">
        <v>584</v>
      </c>
      <c r="AA172" s="138">
        <v>40956</v>
      </c>
      <c r="AB172" s="9" t="s">
        <v>114</v>
      </c>
      <c r="AC172" s="9" t="s">
        <v>124</v>
      </c>
      <c r="AD172" s="15">
        <v>44651</v>
      </c>
      <c r="AE172" s="39" t="s">
        <v>125</v>
      </c>
      <c r="AF172" s="177">
        <v>6</v>
      </c>
      <c r="AG172" s="140">
        <v>0</v>
      </c>
      <c r="AH172" s="9">
        <v>0</v>
      </c>
      <c r="AI172" s="10" t="s">
        <v>126</v>
      </c>
      <c r="AJ172" s="10"/>
      <c r="AK172" s="29"/>
      <c r="AL172" s="12">
        <v>1</v>
      </c>
      <c r="AM172" s="10"/>
      <c r="AN172" s="12">
        <f>FAR[[#This Row],[Opening RUL]]+FAR[[#This Row],[RUL Adjustment]]</f>
        <v>1</v>
      </c>
      <c r="AO172" s="12">
        <f>FAR[[#This Row],[Opening RUL 30 June 2026]]-1</f>
        <v>0</v>
      </c>
      <c r="AP172" s="12" t="s">
        <v>1050</v>
      </c>
      <c r="AQ172" s="139"/>
      <c r="AR172" s="10" t="s">
        <v>127</v>
      </c>
      <c r="AS172" s="13">
        <v>3203.4</v>
      </c>
      <c r="AT172" s="13"/>
      <c r="AU172" s="13">
        <v>0</v>
      </c>
      <c r="AV172" s="13">
        <v>0</v>
      </c>
      <c r="AW172" s="13">
        <v>0</v>
      </c>
      <c r="AX172" s="13">
        <v>3203.4</v>
      </c>
      <c r="AY172" s="13">
        <v>177.9666666666667</v>
      </c>
      <c r="AZ172" s="13">
        <v>0</v>
      </c>
      <c r="BA172" s="13"/>
      <c r="BB172" s="13"/>
      <c r="BC172" s="13">
        <v>-3025.4333333333334</v>
      </c>
      <c r="BD172" s="13"/>
      <c r="BE172" s="13" t="s">
        <v>114</v>
      </c>
      <c r="BF172" s="29"/>
      <c r="BG172" s="13"/>
      <c r="BH172" s="13">
        <f>-FAR[[#This Row],[Carrying value (opening balance)]]/FAR[[#This Row],[Opening RUL 30 June 2026]]</f>
        <v>-177.9666666666667</v>
      </c>
      <c r="BI172" s="13">
        <f>FAR[[#This Row],[Depreciation YTD]]/12</f>
        <v>-14.830555555555557</v>
      </c>
      <c r="BJ172" s="13"/>
      <c r="BK172" s="13" t="s">
        <v>116</v>
      </c>
      <c r="BL172" s="13">
        <v>0</v>
      </c>
      <c r="BM172" s="13">
        <f>FAR[[#This Row],[Accumulated depreciation (Opening balance)]]+FAR[[#This Row],[Depreciation YTD]]+FAR[[#This Row],[Derecognitions (acc dep) '[+']]]</f>
        <v>-3203.4</v>
      </c>
      <c r="BN172" s="13"/>
      <c r="BO172" s="13"/>
      <c r="BP172" s="13"/>
      <c r="BQ172" s="13"/>
      <c r="BR17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72" s="13">
        <f>FAR[[#This Row],[Cost Price (closing balance)]]+FAR[[#This Row],[Accumulated depreciation (Closing balance)]]+FAR[[#This Row],[Accumulated impairments (Closing balance)]]</f>
        <v>0</v>
      </c>
      <c r="BT172" s="13"/>
      <c r="BU172" s="13"/>
      <c r="BV172" s="13"/>
      <c r="BW172" s="10" t="s">
        <v>167</v>
      </c>
      <c r="BX172" s="9" t="s">
        <v>168</v>
      </c>
      <c r="BY172" s="10"/>
      <c r="BZ172" t="s">
        <v>937</v>
      </c>
      <c r="CA172"/>
      <c r="CB172" s="34"/>
      <c r="CC172" s="34"/>
      <c r="CD172" s="34"/>
      <c r="CE172" s="141"/>
    </row>
    <row r="173" spans="1:83">
      <c r="A173" s="35" t="s">
        <v>343</v>
      </c>
      <c r="B173" s="9" t="s">
        <v>864</v>
      </c>
      <c r="C173" s="9" t="s">
        <v>54</v>
      </c>
      <c r="D173" s="10" t="s">
        <v>1</v>
      </c>
      <c r="E173" s="9" t="s">
        <v>115</v>
      </c>
      <c r="F173" s="36" t="s">
        <v>99</v>
      </c>
      <c r="G173" s="9" t="s">
        <v>100</v>
      </c>
      <c r="H173" s="3" t="s">
        <v>128</v>
      </c>
      <c r="I173" s="9" t="s">
        <v>100</v>
      </c>
      <c r="J173" s="36" t="s">
        <v>101</v>
      </c>
      <c r="K173" s="10" t="s">
        <v>559</v>
      </c>
      <c r="L173" s="10" t="s">
        <v>559</v>
      </c>
      <c r="M173" s="9" t="s">
        <v>100</v>
      </c>
      <c r="N173" s="10" t="s">
        <v>508</v>
      </c>
      <c r="O173" s="9" t="s">
        <v>100</v>
      </c>
      <c r="P173" s="10"/>
      <c r="Q173" s="10" t="s">
        <v>508</v>
      </c>
      <c r="R173" s="10" t="s">
        <v>119</v>
      </c>
      <c r="S173" s="10" t="s">
        <v>130</v>
      </c>
      <c r="T173" s="10" t="s">
        <v>120</v>
      </c>
      <c r="U173" s="10" t="s">
        <v>101</v>
      </c>
      <c r="V173" s="10" t="s">
        <v>121</v>
      </c>
      <c r="W173" s="10" t="s">
        <v>122</v>
      </c>
      <c r="X173" s="10" t="s">
        <v>123</v>
      </c>
      <c r="Y173" s="29">
        <v>1</v>
      </c>
      <c r="Z173" s="138" t="s">
        <v>585</v>
      </c>
      <c r="AA173" s="138">
        <v>40977</v>
      </c>
      <c r="AB173" s="9" t="s">
        <v>114</v>
      </c>
      <c r="AC173" s="9" t="s">
        <v>124</v>
      </c>
      <c r="AD173" s="15">
        <v>44651</v>
      </c>
      <c r="AE173" s="39" t="s">
        <v>125</v>
      </c>
      <c r="AF173" s="177">
        <v>6</v>
      </c>
      <c r="AG173" s="140">
        <v>0</v>
      </c>
      <c r="AH173" s="9">
        <v>0</v>
      </c>
      <c r="AI173" s="10" t="s">
        <v>126</v>
      </c>
      <c r="AJ173" s="10"/>
      <c r="AK173" s="29"/>
      <c r="AL173" s="12">
        <v>1</v>
      </c>
      <c r="AM173" s="10"/>
      <c r="AN173" s="12">
        <f>FAR[[#This Row],[Opening RUL]]+FAR[[#This Row],[RUL Adjustment]]</f>
        <v>1</v>
      </c>
      <c r="AO173" s="12">
        <f>FAR[[#This Row],[Opening RUL 30 June 2026]]-1</f>
        <v>0</v>
      </c>
      <c r="AP173" s="12" t="s">
        <v>1050</v>
      </c>
      <c r="AQ173" s="139"/>
      <c r="AR173" s="10" t="s">
        <v>127</v>
      </c>
      <c r="AS173" s="13">
        <v>2311.5</v>
      </c>
      <c r="AT173" s="13"/>
      <c r="AU173" s="13">
        <v>0</v>
      </c>
      <c r="AV173" s="13">
        <v>0</v>
      </c>
      <c r="AW173" s="13">
        <v>0</v>
      </c>
      <c r="AX173" s="13">
        <v>2311.5</v>
      </c>
      <c r="AY173" s="13">
        <v>128.41666666666697</v>
      </c>
      <c r="AZ173" s="13">
        <v>0</v>
      </c>
      <c r="BA173" s="13"/>
      <c r="BB173" s="13"/>
      <c r="BC173" s="13">
        <v>-2183.083333333333</v>
      </c>
      <c r="BD173" s="13"/>
      <c r="BE173" s="13" t="s">
        <v>114</v>
      </c>
      <c r="BF173" s="29"/>
      <c r="BG173" s="13"/>
      <c r="BH173" s="13">
        <f>-FAR[[#This Row],[Carrying value (opening balance)]]/FAR[[#This Row],[Opening RUL 30 June 2026]]</f>
        <v>-128.41666666666697</v>
      </c>
      <c r="BI173" s="13">
        <f>FAR[[#This Row],[Depreciation YTD]]/12</f>
        <v>-10.701388888888914</v>
      </c>
      <c r="BJ173" s="13"/>
      <c r="BK173" s="13" t="s">
        <v>116</v>
      </c>
      <c r="BL173" s="13">
        <v>0</v>
      </c>
      <c r="BM173" s="13">
        <f>FAR[[#This Row],[Accumulated depreciation (Opening balance)]]+FAR[[#This Row],[Depreciation YTD]]+FAR[[#This Row],[Derecognitions (acc dep) '[+']]]</f>
        <v>-2311.5</v>
      </c>
      <c r="BN173" s="13"/>
      <c r="BO173" s="13"/>
      <c r="BP173" s="13"/>
      <c r="BQ173" s="13"/>
      <c r="BR17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73" s="13">
        <f>FAR[[#This Row],[Cost Price (closing balance)]]+FAR[[#This Row],[Accumulated depreciation (Closing balance)]]+FAR[[#This Row],[Accumulated impairments (Closing balance)]]</f>
        <v>0</v>
      </c>
      <c r="BT173" s="13"/>
      <c r="BU173" s="13"/>
      <c r="BV173" s="13"/>
      <c r="BW173" s="10" t="s">
        <v>167</v>
      </c>
      <c r="BX173" s="9" t="s">
        <v>168</v>
      </c>
      <c r="BY173" s="10"/>
      <c r="BZ173" t="s">
        <v>948</v>
      </c>
      <c r="CA173"/>
      <c r="CB173" s="34"/>
      <c r="CC173" s="34"/>
      <c r="CD173" s="34"/>
      <c r="CE173" s="141"/>
    </row>
    <row r="174" spans="1:83">
      <c r="A174" s="35" t="s">
        <v>344</v>
      </c>
      <c r="B174" s="9" t="s">
        <v>895</v>
      </c>
      <c r="C174" s="9" t="s">
        <v>54</v>
      </c>
      <c r="D174" s="10" t="s">
        <v>1</v>
      </c>
      <c r="E174" s="9" t="s">
        <v>115</v>
      </c>
      <c r="F174" s="36" t="s">
        <v>99</v>
      </c>
      <c r="G174" s="9" t="s">
        <v>100</v>
      </c>
      <c r="H174" s="3" t="s">
        <v>128</v>
      </c>
      <c r="I174" s="9" t="s">
        <v>100</v>
      </c>
      <c r="J174" s="36" t="s">
        <v>101</v>
      </c>
      <c r="K174" s="10" t="s">
        <v>559</v>
      </c>
      <c r="L174" s="10" t="s">
        <v>559</v>
      </c>
      <c r="M174" s="9" t="s">
        <v>100</v>
      </c>
      <c r="N174" s="10" t="s">
        <v>489</v>
      </c>
      <c r="O174" s="9" t="s">
        <v>100</v>
      </c>
      <c r="P174" s="10"/>
      <c r="Q174" s="10" t="s">
        <v>489</v>
      </c>
      <c r="R174" s="10" t="s">
        <v>119</v>
      </c>
      <c r="S174" s="10" t="s">
        <v>130</v>
      </c>
      <c r="T174" s="10" t="s">
        <v>120</v>
      </c>
      <c r="U174" s="10" t="s">
        <v>101</v>
      </c>
      <c r="V174" s="10" t="s">
        <v>121</v>
      </c>
      <c r="W174" s="10" t="s">
        <v>122</v>
      </c>
      <c r="X174" s="10" t="s">
        <v>123</v>
      </c>
      <c r="Y174" s="29">
        <v>1</v>
      </c>
      <c r="Z174" s="138" t="s">
        <v>579</v>
      </c>
      <c r="AA174" s="138">
        <v>40025</v>
      </c>
      <c r="AB174" s="9" t="s">
        <v>114</v>
      </c>
      <c r="AC174" s="9" t="s">
        <v>124</v>
      </c>
      <c r="AD174" s="15">
        <v>44651</v>
      </c>
      <c r="AE174" s="39" t="s">
        <v>125</v>
      </c>
      <c r="AF174" s="177">
        <v>6</v>
      </c>
      <c r="AG174" s="140">
        <v>0</v>
      </c>
      <c r="AH174" s="9">
        <v>0</v>
      </c>
      <c r="AI174" s="10" t="s">
        <v>126</v>
      </c>
      <c r="AJ174" s="10"/>
      <c r="AK174" s="29"/>
      <c r="AL174" s="12">
        <v>1</v>
      </c>
      <c r="AM174" s="10"/>
      <c r="AN174" s="12">
        <f>FAR[[#This Row],[Opening RUL]]+FAR[[#This Row],[RUL Adjustment]]</f>
        <v>1</v>
      </c>
      <c r="AO174" s="12">
        <f>FAR[[#This Row],[Opening RUL 30 June 2026]]-1</f>
        <v>0</v>
      </c>
      <c r="AP174" s="12" t="s">
        <v>1050</v>
      </c>
      <c r="AQ174" s="139"/>
      <c r="AR174" s="10" t="s">
        <v>127</v>
      </c>
      <c r="AS174" s="13">
        <v>3505.5</v>
      </c>
      <c r="AT174" s="13"/>
      <c r="AU174" s="13">
        <v>0</v>
      </c>
      <c r="AV174" s="13">
        <v>0</v>
      </c>
      <c r="AW174" s="13">
        <v>0</v>
      </c>
      <c r="AX174" s="13">
        <v>3505.5</v>
      </c>
      <c r="AY174" s="13">
        <v>194.75</v>
      </c>
      <c r="AZ174" s="13">
        <v>0</v>
      </c>
      <c r="BA174" s="13"/>
      <c r="BB174" s="13"/>
      <c r="BC174" s="13">
        <v>-3310.75</v>
      </c>
      <c r="BD174" s="13"/>
      <c r="BE174" s="13" t="s">
        <v>114</v>
      </c>
      <c r="BF174" s="29"/>
      <c r="BG174" s="13"/>
      <c r="BH174" s="13">
        <f>-FAR[[#This Row],[Carrying value (opening balance)]]/FAR[[#This Row],[Opening RUL 30 June 2026]]</f>
        <v>-194.75</v>
      </c>
      <c r="BI174" s="13">
        <f>FAR[[#This Row],[Depreciation YTD]]/12</f>
        <v>-16.229166666666668</v>
      </c>
      <c r="BJ174" s="13"/>
      <c r="BK174" s="13" t="s">
        <v>116</v>
      </c>
      <c r="BL174" s="13">
        <v>0</v>
      </c>
      <c r="BM174" s="13">
        <f>FAR[[#This Row],[Accumulated depreciation (Opening balance)]]+FAR[[#This Row],[Depreciation YTD]]+FAR[[#This Row],[Derecognitions (acc dep) '[+']]]</f>
        <v>-3505.5</v>
      </c>
      <c r="BN174" s="13"/>
      <c r="BO174" s="13"/>
      <c r="BP174" s="13"/>
      <c r="BQ174" s="13"/>
      <c r="BR17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74" s="13">
        <f>FAR[[#This Row],[Cost Price (closing balance)]]+FAR[[#This Row],[Accumulated depreciation (Closing balance)]]+FAR[[#This Row],[Accumulated impairments (Closing balance)]]</f>
        <v>0</v>
      </c>
      <c r="BT174" s="13"/>
      <c r="BU174" s="13"/>
      <c r="BV174" s="13"/>
      <c r="BW174" s="10" t="s">
        <v>167</v>
      </c>
      <c r="BX174" s="9" t="s">
        <v>168</v>
      </c>
      <c r="BY174" s="10"/>
      <c r="BZ174" t="s">
        <v>968</v>
      </c>
      <c r="CA174"/>
      <c r="CB174" s="34"/>
      <c r="CC174" s="34"/>
      <c r="CD174" s="34"/>
      <c r="CE174" s="141"/>
    </row>
    <row r="175" spans="1:83">
      <c r="A175" s="35" t="s">
        <v>345</v>
      </c>
      <c r="B175" s="9" t="s">
        <v>872</v>
      </c>
      <c r="C175" s="9" t="s">
        <v>54</v>
      </c>
      <c r="D175" s="10" t="s">
        <v>1</v>
      </c>
      <c r="E175" s="9" t="s">
        <v>115</v>
      </c>
      <c r="F175" s="36" t="s">
        <v>99</v>
      </c>
      <c r="G175" s="9" t="s">
        <v>100</v>
      </c>
      <c r="H175" s="3" t="s">
        <v>128</v>
      </c>
      <c r="I175" s="9" t="s">
        <v>100</v>
      </c>
      <c r="J175" s="36" t="s">
        <v>101</v>
      </c>
      <c r="K175" s="10" t="s">
        <v>559</v>
      </c>
      <c r="L175" s="10" t="s">
        <v>559</v>
      </c>
      <c r="M175" s="9" t="s">
        <v>100</v>
      </c>
      <c r="N175" s="10" t="s">
        <v>465</v>
      </c>
      <c r="O175" s="9" t="s">
        <v>100</v>
      </c>
      <c r="P175" s="10"/>
      <c r="Q175" s="10" t="s">
        <v>465</v>
      </c>
      <c r="R175" s="10" t="s">
        <v>119</v>
      </c>
      <c r="S175" s="10" t="s">
        <v>130</v>
      </c>
      <c r="T175" s="10" t="s">
        <v>120</v>
      </c>
      <c r="U175" s="10" t="s">
        <v>101</v>
      </c>
      <c r="V175" s="10" t="s">
        <v>121</v>
      </c>
      <c r="W175" s="10" t="s">
        <v>122</v>
      </c>
      <c r="X175" s="10" t="s">
        <v>123</v>
      </c>
      <c r="Y175" s="29">
        <v>1</v>
      </c>
      <c r="Z175" s="138" t="s">
        <v>567</v>
      </c>
      <c r="AA175" s="138">
        <v>38604</v>
      </c>
      <c r="AB175" s="9" t="s">
        <v>114</v>
      </c>
      <c r="AC175" s="9" t="s">
        <v>124</v>
      </c>
      <c r="AD175" s="15">
        <v>44651</v>
      </c>
      <c r="AE175" s="39" t="s">
        <v>125</v>
      </c>
      <c r="AF175" s="177">
        <v>6</v>
      </c>
      <c r="AG175" s="140">
        <v>0</v>
      </c>
      <c r="AH175" s="9">
        <v>0</v>
      </c>
      <c r="AI175" s="10" t="s">
        <v>126</v>
      </c>
      <c r="AJ175" s="10"/>
      <c r="AK175" s="29"/>
      <c r="AL175" s="12">
        <v>1</v>
      </c>
      <c r="AM175" s="10"/>
      <c r="AN175" s="12">
        <f>FAR[[#This Row],[Opening RUL]]+FAR[[#This Row],[RUL Adjustment]]</f>
        <v>1</v>
      </c>
      <c r="AO175" s="12">
        <f>FAR[[#This Row],[Opening RUL 30 June 2026]]-1</f>
        <v>0</v>
      </c>
      <c r="AP175" s="12" t="s">
        <v>1050</v>
      </c>
      <c r="AQ175" s="139"/>
      <c r="AR175" s="10" t="s">
        <v>127</v>
      </c>
      <c r="AS175" s="13">
        <v>2052</v>
      </c>
      <c r="AT175" s="13"/>
      <c r="AU175" s="13">
        <v>0</v>
      </c>
      <c r="AV175" s="13">
        <v>0</v>
      </c>
      <c r="AW175" s="13">
        <v>0</v>
      </c>
      <c r="AX175" s="13">
        <v>2052</v>
      </c>
      <c r="AY175" s="13">
        <v>114</v>
      </c>
      <c r="AZ175" s="13">
        <v>0</v>
      </c>
      <c r="BA175" s="13"/>
      <c r="BB175" s="13"/>
      <c r="BC175" s="13">
        <v>-1938</v>
      </c>
      <c r="BD175" s="13"/>
      <c r="BE175" s="13" t="s">
        <v>114</v>
      </c>
      <c r="BF175" s="29"/>
      <c r="BG175" s="13"/>
      <c r="BH175" s="13">
        <f>-FAR[[#This Row],[Carrying value (opening balance)]]/FAR[[#This Row],[Opening RUL 30 June 2026]]</f>
        <v>-114</v>
      </c>
      <c r="BI175" s="13">
        <f>FAR[[#This Row],[Depreciation YTD]]/12</f>
        <v>-9.5</v>
      </c>
      <c r="BJ175" s="13"/>
      <c r="BK175" s="13" t="s">
        <v>116</v>
      </c>
      <c r="BL175" s="13">
        <v>0</v>
      </c>
      <c r="BM175" s="13">
        <f>FAR[[#This Row],[Accumulated depreciation (Opening balance)]]+FAR[[#This Row],[Depreciation YTD]]+FAR[[#This Row],[Derecognitions (acc dep) '[+']]]</f>
        <v>-2052</v>
      </c>
      <c r="BN175" s="13"/>
      <c r="BO175" s="13"/>
      <c r="BP175" s="13"/>
      <c r="BQ175" s="13"/>
      <c r="BR17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75" s="13">
        <f>FAR[[#This Row],[Cost Price (closing balance)]]+FAR[[#This Row],[Accumulated depreciation (Closing balance)]]+FAR[[#This Row],[Accumulated impairments (Closing balance)]]</f>
        <v>0</v>
      </c>
      <c r="BT175" s="13"/>
      <c r="BU175" s="13"/>
      <c r="BV175" s="13"/>
      <c r="BW175" s="10" t="s">
        <v>167</v>
      </c>
      <c r="BX175" s="9" t="s">
        <v>168</v>
      </c>
      <c r="BY175" s="10"/>
      <c r="BZ175" t="s">
        <v>956</v>
      </c>
      <c r="CA175"/>
      <c r="CB175" s="34"/>
      <c r="CC175" s="34"/>
      <c r="CD175" s="34"/>
      <c r="CE175" s="141"/>
    </row>
    <row r="176" spans="1:83">
      <c r="A176" s="35" t="s">
        <v>346</v>
      </c>
      <c r="B176" s="9" t="s">
        <v>859</v>
      </c>
      <c r="C176" s="9" t="s">
        <v>54</v>
      </c>
      <c r="D176" s="10" t="s">
        <v>1</v>
      </c>
      <c r="E176" s="9" t="s">
        <v>115</v>
      </c>
      <c r="F176" s="36" t="s">
        <v>99</v>
      </c>
      <c r="G176" s="9" t="s">
        <v>100</v>
      </c>
      <c r="H176" s="3" t="s">
        <v>128</v>
      </c>
      <c r="I176" s="9" t="s">
        <v>100</v>
      </c>
      <c r="J176" s="36" t="s">
        <v>101</v>
      </c>
      <c r="K176" s="10" t="s">
        <v>559</v>
      </c>
      <c r="L176" s="10" t="s">
        <v>559</v>
      </c>
      <c r="M176" s="9" t="s">
        <v>100</v>
      </c>
      <c r="N176" s="10" t="s">
        <v>464</v>
      </c>
      <c r="O176" s="9" t="s">
        <v>100</v>
      </c>
      <c r="P176" s="10"/>
      <c r="Q176" s="10" t="s">
        <v>464</v>
      </c>
      <c r="R176" s="10" t="s">
        <v>119</v>
      </c>
      <c r="S176" s="10" t="s">
        <v>130</v>
      </c>
      <c r="T176" s="10" t="s">
        <v>120</v>
      </c>
      <c r="U176" s="10" t="s">
        <v>101</v>
      </c>
      <c r="V176" s="10" t="s">
        <v>121</v>
      </c>
      <c r="W176" s="10" t="s">
        <v>122</v>
      </c>
      <c r="X176" s="10" t="s">
        <v>123</v>
      </c>
      <c r="Y176" s="29">
        <v>1</v>
      </c>
      <c r="Z176" s="138" t="s">
        <v>565</v>
      </c>
      <c r="AA176" s="138">
        <v>38608</v>
      </c>
      <c r="AB176" s="9" t="s">
        <v>114</v>
      </c>
      <c r="AC176" s="9" t="s">
        <v>124</v>
      </c>
      <c r="AD176" s="15">
        <v>44651</v>
      </c>
      <c r="AE176" s="39" t="s">
        <v>125</v>
      </c>
      <c r="AF176" s="177">
        <v>6</v>
      </c>
      <c r="AG176" s="140">
        <v>0</v>
      </c>
      <c r="AH176" s="9">
        <v>0</v>
      </c>
      <c r="AI176" s="10" t="s">
        <v>126</v>
      </c>
      <c r="AJ176" s="10"/>
      <c r="AK176" s="29"/>
      <c r="AL176" s="12">
        <v>1</v>
      </c>
      <c r="AM176" s="10"/>
      <c r="AN176" s="12">
        <f>FAR[[#This Row],[Opening RUL]]+FAR[[#This Row],[RUL Adjustment]]</f>
        <v>1</v>
      </c>
      <c r="AO176" s="12">
        <f>FAR[[#This Row],[Opening RUL 30 June 2026]]-1</f>
        <v>0</v>
      </c>
      <c r="AP176" s="12" t="s">
        <v>1050</v>
      </c>
      <c r="AQ176" s="139"/>
      <c r="AR176" s="10" t="s">
        <v>127</v>
      </c>
      <c r="AS176" s="13">
        <v>2237</v>
      </c>
      <c r="AT176" s="13"/>
      <c r="AU176" s="13">
        <v>0</v>
      </c>
      <c r="AV176" s="13">
        <v>0</v>
      </c>
      <c r="AW176" s="13">
        <v>0</v>
      </c>
      <c r="AX176" s="13">
        <v>2237</v>
      </c>
      <c r="AY176" s="13">
        <v>124.27777777777783</v>
      </c>
      <c r="AZ176" s="13">
        <v>0</v>
      </c>
      <c r="BA176" s="13"/>
      <c r="BB176" s="13"/>
      <c r="BC176" s="13">
        <v>-2112.7222222222222</v>
      </c>
      <c r="BD176" s="13"/>
      <c r="BE176" s="13" t="s">
        <v>114</v>
      </c>
      <c r="BF176" s="29"/>
      <c r="BG176" s="13"/>
      <c r="BH176" s="13">
        <f>-FAR[[#This Row],[Carrying value (opening balance)]]/FAR[[#This Row],[Opening RUL 30 June 2026]]</f>
        <v>-124.27777777777783</v>
      </c>
      <c r="BI176" s="13">
        <f>FAR[[#This Row],[Depreciation YTD]]/12</f>
        <v>-10.356481481481486</v>
      </c>
      <c r="BJ176" s="13"/>
      <c r="BK176" s="13" t="s">
        <v>116</v>
      </c>
      <c r="BL176" s="13">
        <v>0</v>
      </c>
      <c r="BM176" s="13">
        <f>FAR[[#This Row],[Accumulated depreciation (Opening balance)]]+FAR[[#This Row],[Depreciation YTD]]+FAR[[#This Row],[Derecognitions (acc dep) '[+']]]</f>
        <v>-2237</v>
      </c>
      <c r="BN176" s="13"/>
      <c r="BO176" s="13"/>
      <c r="BP176" s="13"/>
      <c r="BQ176" s="13"/>
      <c r="BR17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76" s="13">
        <f>FAR[[#This Row],[Cost Price (closing balance)]]+FAR[[#This Row],[Accumulated depreciation (Closing balance)]]+FAR[[#This Row],[Accumulated impairments (Closing balance)]]</f>
        <v>0</v>
      </c>
      <c r="BT176" s="13"/>
      <c r="BU176" s="13"/>
      <c r="BV176" s="13"/>
      <c r="BW176" s="10" t="s">
        <v>167</v>
      </c>
      <c r="BX176" s="9" t="s">
        <v>168</v>
      </c>
      <c r="BY176" s="10"/>
      <c r="BZ176" t="s">
        <v>944</v>
      </c>
      <c r="CA176"/>
      <c r="CB176" s="34"/>
      <c r="CC176" s="34"/>
      <c r="CD176" s="34"/>
      <c r="CE176" s="141"/>
    </row>
    <row r="177" spans="1:83">
      <c r="A177" s="35" t="s">
        <v>347</v>
      </c>
      <c r="B177" s="9" t="s">
        <v>883</v>
      </c>
      <c r="C177" s="9" t="s">
        <v>54</v>
      </c>
      <c r="D177" s="10" t="s">
        <v>1</v>
      </c>
      <c r="E177" s="9" t="s">
        <v>115</v>
      </c>
      <c r="F177" s="36" t="s">
        <v>99</v>
      </c>
      <c r="G177" s="9" t="s">
        <v>100</v>
      </c>
      <c r="H177" s="3" t="s">
        <v>128</v>
      </c>
      <c r="I177" s="9" t="s">
        <v>100</v>
      </c>
      <c r="J177" s="36" t="s">
        <v>101</v>
      </c>
      <c r="K177" s="10" t="s">
        <v>559</v>
      </c>
      <c r="L177" s="10" t="s">
        <v>559</v>
      </c>
      <c r="M177" s="9" t="s">
        <v>100</v>
      </c>
      <c r="N177" s="10" t="s">
        <v>464</v>
      </c>
      <c r="O177" s="9" t="s">
        <v>100</v>
      </c>
      <c r="P177" s="10"/>
      <c r="Q177" s="10" t="s">
        <v>464</v>
      </c>
      <c r="R177" s="10" t="s">
        <v>119</v>
      </c>
      <c r="S177" s="10" t="s">
        <v>130</v>
      </c>
      <c r="T177" s="10" t="s">
        <v>120</v>
      </c>
      <c r="U177" s="10" t="s">
        <v>101</v>
      </c>
      <c r="V177" s="10" t="s">
        <v>121</v>
      </c>
      <c r="W177" s="10" t="s">
        <v>122</v>
      </c>
      <c r="X177" s="10" t="s">
        <v>123</v>
      </c>
      <c r="Y177" s="29">
        <v>1</v>
      </c>
      <c r="Z177" s="138" t="s">
        <v>565</v>
      </c>
      <c r="AA177" s="138">
        <v>38608</v>
      </c>
      <c r="AB177" s="9" t="s">
        <v>114</v>
      </c>
      <c r="AC177" s="9" t="s">
        <v>124</v>
      </c>
      <c r="AD177" s="15">
        <v>44651</v>
      </c>
      <c r="AE177" s="39" t="s">
        <v>125</v>
      </c>
      <c r="AF177" s="177">
        <v>6</v>
      </c>
      <c r="AG177" s="140">
        <v>0</v>
      </c>
      <c r="AH177" s="9">
        <v>0</v>
      </c>
      <c r="AI177" s="10" t="s">
        <v>126</v>
      </c>
      <c r="AJ177" s="10"/>
      <c r="AK177" s="29"/>
      <c r="AL177" s="12">
        <v>1</v>
      </c>
      <c r="AM177" s="10"/>
      <c r="AN177" s="12">
        <f>FAR[[#This Row],[Opening RUL]]+FAR[[#This Row],[RUL Adjustment]]</f>
        <v>1</v>
      </c>
      <c r="AO177" s="12">
        <f>FAR[[#This Row],[Opening RUL 30 June 2026]]-1</f>
        <v>0</v>
      </c>
      <c r="AP177" s="12" t="s">
        <v>1050</v>
      </c>
      <c r="AQ177" s="139"/>
      <c r="AR177" s="10" t="s">
        <v>127</v>
      </c>
      <c r="AS177" s="13">
        <v>2237</v>
      </c>
      <c r="AT177" s="13"/>
      <c r="AU177" s="13">
        <v>0</v>
      </c>
      <c r="AV177" s="13">
        <v>0</v>
      </c>
      <c r="AW177" s="13">
        <v>0</v>
      </c>
      <c r="AX177" s="13">
        <v>2237</v>
      </c>
      <c r="AY177" s="13">
        <v>124.27777777777783</v>
      </c>
      <c r="AZ177" s="13">
        <v>0</v>
      </c>
      <c r="BA177" s="13"/>
      <c r="BB177" s="13"/>
      <c r="BC177" s="13">
        <v>-2112.7222222222222</v>
      </c>
      <c r="BD177" s="13"/>
      <c r="BE177" s="13" t="s">
        <v>114</v>
      </c>
      <c r="BF177" s="29"/>
      <c r="BG177" s="13"/>
      <c r="BH177" s="13">
        <f>-FAR[[#This Row],[Carrying value (opening balance)]]/FAR[[#This Row],[Opening RUL 30 June 2026]]</f>
        <v>-124.27777777777783</v>
      </c>
      <c r="BI177" s="13">
        <f>FAR[[#This Row],[Depreciation YTD]]/12</f>
        <v>-10.356481481481486</v>
      </c>
      <c r="BJ177" s="13"/>
      <c r="BK177" s="13" t="s">
        <v>116</v>
      </c>
      <c r="BL177" s="13">
        <v>0</v>
      </c>
      <c r="BM177" s="13">
        <f>FAR[[#This Row],[Accumulated depreciation (Opening balance)]]+FAR[[#This Row],[Depreciation YTD]]+FAR[[#This Row],[Derecognitions (acc dep) '[+']]]</f>
        <v>-2237</v>
      </c>
      <c r="BN177" s="13"/>
      <c r="BO177" s="13"/>
      <c r="BP177" s="13"/>
      <c r="BQ177" s="13"/>
      <c r="BR17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77" s="13">
        <f>FAR[[#This Row],[Cost Price (closing balance)]]+FAR[[#This Row],[Accumulated depreciation (Closing balance)]]+FAR[[#This Row],[Accumulated impairments (Closing balance)]]</f>
        <v>0</v>
      </c>
      <c r="BT177" s="13"/>
      <c r="BU177" s="13"/>
      <c r="BV177" s="13"/>
      <c r="BW177" s="10" t="s">
        <v>167</v>
      </c>
      <c r="BX177" s="9" t="s">
        <v>168</v>
      </c>
      <c r="BY177" s="10"/>
      <c r="BZ177" t="s">
        <v>972</v>
      </c>
      <c r="CA177"/>
      <c r="CB177" s="34"/>
      <c r="CC177" s="34"/>
      <c r="CD177" s="34"/>
      <c r="CE177" s="141"/>
    </row>
    <row r="178" spans="1:83">
      <c r="A178" s="35" t="s">
        <v>348</v>
      </c>
      <c r="B178" s="9" t="s">
        <v>906</v>
      </c>
      <c r="C178" s="9" t="s">
        <v>54</v>
      </c>
      <c r="D178" s="10" t="s">
        <v>1</v>
      </c>
      <c r="E178" s="9" t="s">
        <v>115</v>
      </c>
      <c r="F178" s="36" t="s">
        <v>99</v>
      </c>
      <c r="G178" s="9" t="s">
        <v>100</v>
      </c>
      <c r="H178" s="3" t="s">
        <v>128</v>
      </c>
      <c r="I178" s="9" t="s">
        <v>100</v>
      </c>
      <c r="J178" s="36" t="s">
        <v>101</v>
      </c>
      <c r="K178" s="10" t="s">
        <v>559</v>
      </c>
      <c r="L178" s="10" t="s">
        <v>559</v>
      </c>
      <c r="M178" s="9" t="s">
        <v>100</v>
      </c>
      <c r="N178" s="10" t="s">
        <v>510</v>
      </c>
      <c r="O178" s="9" t="s">
        <v>100</v>
      </c>
      <c r="P178" s="10"/>
      <c r="Q178" s="10" t="s">
        <v>510</v>
      </c>
      <c r="R178" s="10" t="s">
        <v>119</v>
      </c>
      <c r="S178" s="10" t="s">
        <v>130</v>
      </c>
      <c r="T178" s="10" t="s">
        <v>120</v>
      </c>
      <c r="U178" s="10" t="s">
        <v>101</v>
      </c>
      <c r="V178" s="10" t="s">
        <v>121</v>
      </c>
      <c r="W178" s="10" t="s">
        <v>122</v>
      </c>
      <c r="X178" s="10" t="s">
        <v>123</v>
      </c>
      <c r="Y178" s="29">
        <v>1</v>
      </c>
      <c r="Z178" s="138" t="s">
        <v>586</v>
      </c>
      <c r="AA178" s="138">
        <v>41533</v>
      </c>
      <c r="AB178" s="9" t="s">
        <v>114</v>
      </c>
      <c r="AC178" s="9" t="s">
        <v>124</v>
      </c>
      <c r="AD178" s="15">
        <v>44651</v>
      </c>
      <c r="AE178" s="39" t="s">
        <v>125</v>
      </c>
      <c r="AF178" s="177">
        <v>6</v>
      </c>
      <c r="AG178" s="140">
        <v>0</v>
      </c>
      <c r="AH178" s="9">
        <v>0</v>
      </c>
      <c r="AI178" s="10" t="s">
        <v>126</v>
      </c>
      <c r="AJ178" s="10"/>
      <c r="AK178" s="29"/>
      <c r="AL178" s="12">
        <v>1</v>
      </c>
      <c r="AM178" s="10"/>
      <c r="AN178" s="12">
        <f>FAR[[#This Row],[Opening RUL]]+FAR[[#This Row],[RUL Adjustment]]</f>
        <v>1</v>
      </c>
      <c r="AO178" s="12">
        <f>FAR[[#This Row],[Opening RUL 30 June 2026]]-1</f>
        <v>0</v>
      </c>
      <c r="AP178" s="12" t="s">
        <v>1051</v>
      </c>
      <c r="AQ178" s="139"/>
      <c r="AR178" s="10" t="s">
        <v>127</v>
      </c>
      <c r="AS178" s="13">
        <v>3700</v>
      </c>
      <c r="AT178" s="13"/>
      <c r="AU178" s="13">
        <v>0</v>
      </c>
      <c r="AV178" s="13">
        <v>0</v>
      </c>
      <c r="AW178" s="13">
        <v>0</v>
      </c>
      <c r="AX178" s="13">
        <v>3700</v>
      </c>
      <c r="AY178" s="13">
        <v>205.55555555555566</v>
      </c>
      <c r="AZ178" s="13">
        <v>0</v>
      </c>
      <c r="BA178" s="13"/>
      <c r="BB178" s="13"/>
      <c r="BC178" s="13">
        <v>-3494.4444444444443</v>
      </c>
      <c r="BD178" s="13"/>
      <c r="BE178" s="13" t="s">
        <v>114</v>
      </c>
      <c r="BF178" s="29"/>
      <c r="BG178" s="13"/>
      <c r="BH178" s="13">
        <f>-FAR[[#This Row],[Carrying value (opening balance)]]/FAR[[#This Row],[Opening RUL 30 June 2026]]</f>
        <v>-205.55555555555566</v>
      </c>
      <c r="BI178" s="13">
        <f>FAR[[#This Row],[Depreciation YTD]]/12</f>
        <v>-17.129629629629637</v>
      </c>
      <c r="BJ178" s="13"/>
      <c r="BK178" s="13" t="s">
        <v>116</v>
      </c>
      <c r="BL178" s="13">
        <v>0</v>
      </c>
      <c r="BM178" s="13">
        <f>FAR[[#This Row],[Accumulated depreciation (Opening balance)]]+FAR[[#This Row],[Depreciation YTD]]+FAR[[#This Row],[Derecognitions (acc dep) '[+']]]</f>
        <v>-3700</v>
      </c>
      <c r="BN178" s="13"/>
      <c r="BO178" s="13"/>
      <c r="BP178" s="13"/>
      <c r="BQ178" s="13"/>
      <c r="BR17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78" s="13">
        <f>FAR[[#This Row],[Cost Price (closing balance)]]+FAR[[#This Row],[Accumulated depreciation (Closing balance)]]+FAR[[#This Row],[Accumulated impairments (Closing balance)]]</f>
        <v>0</v>
      </c>
      <c r="BT178" s="13"/>
      <c r="BU178" s="13"/>
      <c r="BV178" s="13"/>
      <c r="BW178" s="10" t="s">
        <v>167</v>
      </c>
      <c r="BX178" s="9" t="s">
        <v>168</v>
      </c>
      <c r="BY178" s="10"/>
      <c r="BZ178" t="s">
        <v>990</v>
      </c>
      <c r="CA178"/>
      <c r="CB178" s="34"/>
      <c r="CC178" s="34"/>
      <c r="CD178" s="34"/>
      <c r="CE178" s="141"/>
    </row>
    <row r="179" spans="1:83">
      <c r="A179" s="35" t="s">
        <v>349</v>
      </c>
      <c r="B179" s="9" t="s">
        <v>886</v>
      </c>
      <c r="C179" s="9" t="s">
        <v>54</v>
      </c>
      <c r="D179" s="10" t="s">
        <v>1</v>
      </c>
      <c r="E179" s="9" t="s">
        <v>115</v>
      </c>
      <c r="F179" s="36" t="s">
        <v>99</v>
      </c>
      <c r="G179" s="9" t="s">
        <v>100</v>
      </c>
      <c r="H179" s="3" t="s">
        <v>128</v>
      </c>
      <c r="I179" s="9" t="s">
        <v>100</v>
      </c>
      <c r="J179" s="36" t="s">
        <v>101</v>
      </c>
      <c r="K179" s="10" t="s">
        <v>559</v>
      </c>
      <c r="L179" s="10" t="s">
        <v>559</v>
      </c>
      <c r="M179" s="9" t="s">
        <v>100</v>
      </c>
      <c r="N179" s="10" t="s">
        <v>509</v>
      </c>
      <c r="O179" s="9" t="s">
        <v>100</v>
      </c>
      <c r="P179" s="10"/>
      <c r="Q179" s="10" t="s">
        <v>509</v>
      </c>
      <c r="R179" s="10" t="s">
        <v>119</v>
      </c>
      <c r="S179" s="10" t="s">
        <v>130</v>
      </c>
      <c r="T179" s="10" t="s">
        <v>120</v>
      </c>
      <c r="U179" s="10" t="s">
        <v>101</v>
      </c>
      <c r="V179" s="10" t="s">
        <v>121</v>
      </c>
      <c r="W179" s="10" t="s">
        <v>122</v>
      </c>
      <c r="X179" s="10" t="s">
        <v>123</v>
      </c>
      <c r="Y179" s="29">
        <v>1</v>
      </c>
      <c r="Z179" s="138" t="s">
        <v>586</v>
      </c>
      <c r="AA179" s="138">
        <v>41533</v>
      </c>
      <c r="AB179" s="9" t="s">
        <v>114</v>
      </c>
      <c r="AC179" s="9" t="s">
        <v>124</v>
      </c>
      <c r="AD179" s="15">
        <v>44651</v>
      </c>
      <c r="AE179" s="39" t="s">
        <v>125</v>
      </c>
      <c r="AF179" s="177">
        <v>6</v>
      </c>
      <c r="AG179" s="140">
        <v>0</v>
      </c>
      <c r="AH179" s="9">
        <v>0</v>
      </c>
      <c r="AI179" s="10" t="s">
        <v>126</v>
      </c>
      <c r="AJ179" s="10"/>
      <c r="AK179" s="29"/>
      <c r="AL179" s="12">
        <v>1</v>
      </c>
      <c r="AM179" s="10"/>
      <c r="AN179" s="12">
        <f>FAR[[#This Row],[Opening RUL]]+FAR[[#This Row],[RUL Adjustment]]</f>
        <v>1</v>
      </c>
      <c r="AO179" s="12">
        <f>FAR[[#This Row],[Opening RUL 30 June 2026]]-1</f>
        <v>0</v>
      </c>
      <c r="AP179" s="12" t="s">
        <v>1050</v>
      </c>
      <c r="AQ179" s="139"/>
      <c r="AR179" s="10" t="s">
        <v>127</v>
      </c>
      <c r="AS179" s="13">
        <v>3850</v>
      </c>
      <c r="AT179" s="13"/>
      <c r="AU179" s="13">
        <v>0</v>
      </c>
      <c r="AV179" s="13">
        <v>0</v>
      </c>
      <c r="AW179" s="13">
        <v>0</v>
      </c>
      <c r="AX179" s="13">
        <v>3850</v>
      </c>
      <c r="AY179" s="13">
        <v>213.88888888888869</v>
      </c>
      <c r="AZ179" s="13">
        <v>0</v>
      </c>
      <c r="BA179" s="13"/>
      <c r="BB179" s="13"/>
      <c r="BC179" s="13">
        <v>-3636.1111111111113</v>
      </c>
      <c r="BD179" s="13"/>
      <c r="BE179" s="13" t="s">
        <v>114</v>
      </c>
      <c r="BF179" s="29"/>
      <c r="BG179" s="13"/>
      <c r="BH179" s="13">
        <f>-FAR[[#This Row],[Carrying value (opening balance)]]/FAR[[#This Row],[Opening RUL 30 June 2026]]</f>
        <v>-213.88888888888869</v>
      </c>
      <c r="BI179" s="13">
        <f>FAR[[#This Row],[Depreciation YTD]]/12</f>
        <v>-17.824074074074058</v>
      </c>
      <c r="BJ179" s="13"/>
      <c r="BK179" s="13" t="s">
        <v>116</v>
      </c>
      <c r="BL179" s="13">
        <v>0</v>
      </c>
      <c r="BM179" s="13">
        <f>FAR[[#This Row],[Accumulated depreciation (Opening balance)]]+FAR[[#This Row],[Depreciation YTD]]+FAR[[#This Row],[Derecognitions (acc dep) '[+']]]</f>
        <v>-3850</v>
      </c>
      <c r="BN179" s="13"/>
      <c r="BO179" s="13"/>
      <c r="BP179" s="13"/>
      <c r="BQ179" s="13"/>
      <c r="BR17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79" s="13">
        <f>FAR[[#This Row],[Cost Price (closing balance)]]+FAR[[#This Row],[Accumulated depreciation (Closing balance)]]+FAR[[#This Row],[Accumulated impairments (Closing balance)]]</f>
        <v>0</v>
      </c>
      <c r="BT179" s="13"/>
      <c r="BU179" s="13"/>
      <c r="BV179" s="13"/>
      <c r="BW179" s="10" t="s">
        <v>167</v>
      </c>
      <c r="BX179" s="9" t="s">
        <v>168</v>
      </c>
      <c r="BY179" s="10"/>
      <c r="BZ179" t="s">
        <v>998</v>
      </c>
      <c r="CA179"/>
      <c r="CB179" s="34"/>
      <c r="CC179" s="34"/>
      <c r="CD179" s="34"/>
      <c r="CE179" s="141"/>
    </row>
    <row r="180" spans="1:83">
      <c r="A180" s="35" t="s">
        <v>350</v>
      </c>
      <c r="B180" s="9" t="s">
        <v>884</v>
      </c>
      <c r="C180" s="9" t="s">
        <v>54</v>
      </c>
      <c r="D180" s="10" t="s">
        <v>1</v>
      </c>
      <c r="E180" s="9" t="s">
        <v>115</v>
      </c>
      <c r="F180" s="36" t="s">
        <v>99</v>
      </c>
      <c r="G180" s="9" t="s">
        <v>100</v>
      </c>
      <c r="H180" s="3" t="s">
        <v>128</v>
      </c>
      <c r="I180" s="9" t="s">
        <v>100</v>
      </c>
      <c r="J180" s="36" t="s">
        <v>101</v>
      </c>
      <c r="K180" s="10" t="s">
        <v>559</v>
      </c>
      <c r="L180" s="10" t="s">
        <v>559</v>
      </c>
      <c r="M180" s="9" t="s">
        <v>100</v>
      </c>
      <c r="N180" s="10" t="s">
        <v>511</v>
      </c>
      <c r="O180" s="9" t="s">
        <v>100</v>
      </c>
      <c r="P180" s="10"/>
      <c r="Q180" s="10" t="s">
        <v>511</v>
      </c>
      <c r="R180" s="10" t="s">
        <v>119</v>
      </c>
      <c r="S180" s="10" t="s">
        <v>130</v>
      </c>
      <c r="T180" s="10" t="s">
        <v>120</v>
      </c>
      <c r="U180" s="10" t="s">
        <v>101</v>
      </c>
      <c r="V180" s="10" t="s">
        <v>121</v>
      </c>
      <c r="W180" s="10" t="s">
        <v>122</v>
      </c>
      <c r="X180" s="10" t="s">
        <v>123</v>
      </c>
      <c r="Y180" s="29">
        <v>1</v>
      </c>
      <c r="Z180" s="138" t="s">
        <v>586</v>
      </c>
      <c r="AA180" s="138">
        <v>41533</v>
      </c>
      <c r="AB180" s="9" t="s">
        <v>114</v>
      </c>
      <c r="AC180" s="9" t="s">
        <v>124</v>
      </c>
      <c r="AD180" s="15">
        <v>44651</v>
      </c>
      <c r="AE180" s="39" t="s">
        <v>125</v>
      </c>
      <c r="AF180" s="177">
        <v>6</v>
      </c>
      <c r="AG180" s="140">
        <v>0</v>
      </c>
      <c r="AH180" s="9">
        <v>0</v>
      </c>
      <c r="AI180" s="10" t="s">
        <v>126</v>
      </c>
      <c r="AJ180" s="10"/>
      <c r="AK180" s="29"/>
      <c r="AL180" s="12">
        <v>1</v>
      </c>
      <c r="AM180" s="10"/>
      <c r="AN180" s="12">
        <f>FAR[[#This Row],[Opening RUL]]+FAR[[#This Row],[RUL Adjustment]]</f>
        <v>1</v>
      </c>
      <c r="AO180" s="12">
        <f>FAR[[#This Row],[Opening RUL 30 June 2026]]-1</f>
        <v>0</v>
      </c>
      <c r="AP180" s="12" t="s">
        <v>1050</v>
      </c>
      <c r="AQ180" s="139"/>
      <c r="AR180" s="10" t="s">
        <v>127</v>
      </c>
      <c r="AS180" s="13">
        <v>3700</v>
      </c>
      <c r="AT180" s="13"/>
      <c r="AU180" s="13">
        <v>0</v>
      </c>
      <c r="AV180" s="13">
        <v>0</v>
      </c>
      <c r="AW180" s="13">
        <v>0</v>
      </c>
      <c r="AX180" s="13">
        <v>3700</v>
      </c>
      <c r="AY180" s="13">
        <v>205.55555555555566</v>
      </c>
      <c r="AZ180" s="13">
        <v>0</v>
      </c>
      <c r="BA180" s="13"/>
      <c r="BB180" s="13"/>
      <c r="BC180" s="13">
        <v>-3494.4444444444443</v>
      </c>
      <c r="BD180" s="13"/>
      <c r="BE180" s="13" t="s">
        <v>114</v>
      </c>
      <c r="BF180" s="29"/>
      <c r="BG180" s="13"/>
      <c r="BH180" s="13">
        <f>-FAR[[#This Row],[Carrying value (opening balance)]]/FAR[[#This Row],[Opening RUL 30 June 2026]]</f>
        <v>-205.55555555555566</v>
      </c>
      <c r="BI180" s="13">
        <f>FAR[[#This Row],[Depreciation YTD]]/12</f>
        <v>-17.129629629629637</v>
      </c>
      <c r="BJ180" s="13"/>
      <c r="BK180" s="13" t="s">
        <v>116</v>
      </c>
      <c r="BL180" s="13">
        <v>0</v>
      </c>
      <c r="BM180" s="13">
        <f>FAR[[#This Row],[Accumulated depreciation (Opening balance)]]+FAR[[#This Row],[Depreciation YTD]]+FAR[[#This Row],[Derecognitions (acc dep) '[+']]]</f>
        <v>-3700</v>
      </c>
      <c r="BN180" s="13"/>
      <c r="BO180" s="13"/>
      <c r="BP180" s="13"/>
      <c r="BQ180" s="13"/>
      <c r="BR18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80" s="13">
        <f>FAR[[#This Row],[Cost Price (closing balance)]]+FAR[[#This Row],[Accumulated depreciation (Closing balance)]]+FAR[[#This Row],[Accumulated impairments (Closing balance)]]</f>
        <v>0</v>
      </c>
      <c r="BT180" s="13"/>
      <c r="BU180" s="13"/>
      <c r="BV180" s="13"/>
      <c r="BW180" s="10" t="s">
        <v>167</v>
      </c>
      <c r="BX180" s="9" t="s">
        <v>168</v>
      </c>
      <c r="BY180" s="10"/>
      <c r="BZ180" t="s">
        <v>973</v>
      </c>
      <c r="CA180"/>
      <c r="CB180" s="34"/>
      <c r="CC180" s="34"/>
      <c r="CD180" s="34"/>
      <c r="CE180" s="141"/>
    </row>
    <row r="181" spans="1:83">
      <c r="A181" s="35" t="s">
        <v>351</v>
      </c>
      <c r="B181" s="9" t="s">
        <v>884</v>
      </c>
      <c r="C181" s="9" t="s">
        <v>54</v>
      </c>
      <c r="D181" s="10" t="s">
        <v>1</v>
      </c>
      <c r="E181" s="9" t="s">
        <v>115</v>
      </c>
      <c r="F181" s="36" t="s">
        <v>99</v>
      </c>
      <c r="G181" s="9" t="s">
        <v>100</v>
      </c>
      <c r="H181" s="3" t="s">
        <v>128</v>
      </c>
      <c r="I181" s="9" t="s">
        <v>100</v>
      </c>
      <c r="J181" s="36" t="s">
        <v>101</v>
      </c>
      <c r="K181" s="10" t="s">
        <v>559</v>
      </c>
      <c r="L181" s="10" t="s">
        <v>559</v>
      </c>
      <c r="M181" s="9" t="s">
        <v>100</v>
      </c>
      <c r="N181" s="10" t="s">
        <v>512</v>
      </c>
      <c r="O181" s="9" t="s">
        <v>100</v>
      </c>
      <c r="P181" s="10"/>
      <c r="Q181" s="10" t="s">
        <v>512</v>
      </c>
      <c r="R181" s="10" t="s">
        <v>119</v>
      </c>
      <c r="S181" s="10" t="s">
        <v>130</v>
      </c>
      <c r="T181" s="10" t="s">
        <v>120</v>
      </c>
      <c r="U181" s="10" t="s">
        <v>101</v>
      </c>
      <c r="V181" s="10" t="s">
        <v>121</v>
      </c>
      <c r="W181" s="10" t="s">
        <v>122</v>
      </c>
      <c r="X181" s="10" t="s">
        <v>123</v>
      </c>
      <c r="Y181" s="29">
        <v>1</v>
      </c>
      <c r="Z181" s="138" t="s">
        <v>586</v>
      </c>
      <c r="AA181" s="138">
        <v>41533</v>
      </c>
      <c r="AB181" s="9" t="s">
        <v>114</v>
      </c>
      <c r="AC181" s="9" t="s">
        <v>124</v>
      </c>
      <c r="AD181" s="15">
        <v>44651</v>
      </c>
      <c r="AE181" s="39" t="s">
        <v>125</v>
      </c>
      <c r="AF181" s="177">
        <v>6</v>
      </c>
      <c r="AG181" s="140">
        <v>0</v>
      </c>
      <c r="AH181" s="9">
        <v>0</v>
      </c>
      <c r="AI181" s="10" t="s">
        <v>126</v>
      </c>
      <c r="AJ181" s="10"/>
      <c r="AK181" s="29"/>
      <c r="AL181" s="12">
        <v>1</v>
      </c>
      <c r="AM181" s="10"/>
      <c r="AN181" s="12">
        <f>FAR[[#This Row],[Opening RUL]]+FAR[[#This Row],[RUL Adjustment]]</f>
        <v>1</v>
      </c>
      <c r="AO181" s="12">
        <f>FAR[[#This Row],[Opening RUL 30 June 2026]]-1</f>
        <v>0</v>
      </c>
      <c r="AP181" s="12" t="s">
        <v>1050</v>
      </c>
      <c r="AQ181" s="139"/>
      <c r="AR181" s="10" t="s">
        <v>127</v>
      </c>
      <c r="AS181" s="13">
        <v>3700</v>
      </c>
      <c r="AT181" s="13"/>
      <c r="AU181" s="13">
        <v>0</v>
      </c>
      <c r="AV181" s="13">
        <v>0</v>
      </c>
      <c r="AW181" s="13">
        <v>0</v>
      </c>
      <c r="AX181" s="13">
        <v>3700</v>
      </c>
      <c r="AY181" s="13">
        <v>205.55555555555566</v>
      </c>
      <c r="AZ181" s="13">
        <v>0</v>
      </c>
      <c r="BA181" s="13"/>
      <c r="BB181" s="13"/>
      <c r="BC181" s="13">
        <v>-3494.4444444444443</v>
      </c>
      <c r="BD181" s="13"/>
      <c r="BE181" s="13" t="s">
        <v>114</v>
      </c>
      <c r="BF181" s="29"/>
      <c r="BG181" s="13"/>
      <c r="BH181" s="13">
        <f>-FAR[[#This Row],[Carrying value (opening balance)]]/FAR[[#This Row],[Opening RUL 30 June 2026]]</f>
        <v>-205.55555555555566</v>
      </c>
      <c r="BI181" s="13">
        <f>FAR[[#This Row],[Depreciation YTD]]/12</f>
        <v>-17.129629629629637</v>
      </c>
      <c r="BJ181" s="13"/>
      <c r="BK181" s="13" t="s">
        <v>116</v>
      </c>
      <c r="BL181" s="13">
        <v>0</v>
      </c>
      <c r="BM181" s="13">
        <f>FAR[[#This Row],[Accumulated depreciation (Opening balance)]]+FAR[[#This Row],[Depreciation YTD]]+FAR[[#This Row],[Derecognitions (acc dep) '[+']]]</f>
        <v>-3700</v>
      </c>
      <c r="BN181" s="13"/>
      <c r="BO181" s="13"/>
      <c r="BP181" s="13"/>
      <c r="BQ181" s="13"/>
      <c r="BR18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81" s="13">
        <f>FAR[[#This Row],[Cost Price (closing balance)]]+FAR[[#This Row],[Accumulated depreciation (Closing balance)]]+FAR[[#This Row],[Accumulated impairments (Closing balance)]]</f>
        <v>0</v>
      </c>
      <c r="BT181" s="13"/>
      <c r="BU181" s="13"/>
      <c r="BV181" s="13"/>
      <c r="BW181" s="10" t="s">
        <v>167</v>
      </c>
      <c r="BX181" s="9" t="s">
        <v>168</v>
      </c>
      <c r="BY181" s="10"/>
      <c r="BZ181" t="s">
        <v>973</v>
      </c>
      <c r="CA181"/>
      <c r="CB181" s="34"/>
      <c r="CC181" s="34"/>
      <c r="CD181" s="34"/>
      <c r="CE181" s="141"/>
    </row>
    <row r="182" spans="1:83">
      <c r="A182" s="35" t="s">
        <v>352</v>
      </c>
      <c r="B182" s="9" t="s">
        <v>884</v>
      </c>
      <c r="C182" s="9" t="s">
        <v>54</v>
      </c>
      <c r="D182" s="10" t="s">
        <v>1</v>
      </c>
      <c r="E182" s="9" t="s">
        <v>115</v>
      </c>
      <c r="F182" s="36" t="s">
        <v>99</v>
      </c>
      <c r="G182" s="9" t="s">
        <v>100</v>
      </c>
      <c r="H182" s="3" t="s">
        <v>128</v>
      </c>
      <c r="I182" s="9" t="s">
        <v>100</v>
      </c>
      <c r="J182" s="36" t="s">
        <v>101</v>
      </c>
      <c r="K182" s="10" t="s">
        <v>559</v>
      </c>
      <c r="L182" s="10" t="s">
        <v>559</v>
      </c>
      <c r="M182" s="9" t="s">
        <v>100</v>
      </c>
      <c r="N182" s="10" t="s">
        <v>509</v>
      </c>
      <c r="O182" s="9" t="s">
        <v>100</v>
      </c>
      <c r="P182" s="10"/>
      <c r="Q182" s="10" t="s">
        <v>509</v>
      </c>
      <c r="R182" s="10" t="s">
        <v>119</v>
      </c>
      <c r="S182" s="10" t="s">
        <v>130</v>
      </c>
      <c r="T182" s="10" t="s">
        <v>120</v>
      </c>
      <c r="U182" s="10" t="s">
        <v>101</v>
      </c>
      <c r="V182" s="10" t="s">
        <v>121</v>
      </c>
      <c r="W182" s="10" t="s">
        <v>122</v>
      </c>
      <c r="X182" s="10" t="s">
        <v>123</v>
      </c>
      <c r="Y182" s="29">
        <v>1</v>
      </c>
      <c r="Z182" s="138" t="s">
        <v>586</v>
      </c>
      <c r="AA182" s="138">
        <v>41533</v>
      </c>
      <c r="AB182" s="9" t="s">
        <v>114</v>
      </c>
      <c r="AC182" s="9" t="s">
        <v>124</v>
      </c>
      <c r="AD182" s="15">
        <v>44651</v>
      </c>
      <c r="AE182" s="39" t="s">
        <v>125</v>
      </c>
      <c r="AF182" s="177">
        <v>6</v>
      </c>
      <c r="AG182" s="140">
        <v>0</v>
      </c>
      <c r="AH182" s="9">
        <v>0</v>
      </c>
      <c r="AI182" s="10" t="s">
        <v>126</v>
      </c>
      <c r="AJ182" s="10"/>
      <c r="AK182" s="29"/>
      <c r="AL182" s="12">
        <v>1</v>
      </c>
      <c r="AM182" s="10"/>
      <c r="AN182" s="12">
        <f>FAR[[#This Row],[Opening RUL]]+FAR[[#This Row],[RUL Adjustment]]</f>
        <v>1</v>
      </c>
      <c r="AO182" s="12">
        <f>FAR[[#This Row],[Opening RUL 30 June 2026]]-1</f>
        <v>0</v>
      </c>
      <c r="AP182" s="12" t="s">
        <v>1050</v>
      </c>
      <c r="AQ182" s="139"/>
      <c r="AR182" s="10" t="s">
        <v>127</v>
      </c>
      <c r="AS182" s="13">
        <v>4250</v>
      </c>
      <c r="AT182" s="13"/>
      <c r="AU182" s="13">
        <v>0</v>
      </c>
      <c r="AV182" s="13">
        <v>0</v>
      </c>
      <c r="AW182" s="13">
        <v>0</v>
      </c>
      <c r="AX182" s="13">
        <v>4250</v>
      </c>
      <c r="AY182" s="13">
        <v>236.11111111111131</v>
      </c>
      <c r="AZ182" s="13">
        <v>0</v>
      </c>
      <c r="BA182" s="13"/>
      <c r="BB182" s="13"/>
      <c r="BC182" s="13">
        <v>-4013.8888888888887</v>
      </c>
      <c r="BD182" s="13"/>
      <c r="BE182" s="13" t="s">
        <v>114</v>
      </c>
      <c r="BF182" s="29"/>
      <c r="BG182" s="13"/>
      <c r="BH182" s="13">
        <f>-FAR[[#This Row],[Carrying value (opening balance)]]/FAR[[#This Row],[Opening RUL 30 June 2026]]</f>
        <v>-236.11111111111131</v>
      </c>
      <c r="BI182" s="13">
        <f>FAR[[#This Row],[Depreciation YTD]]/12</f>
        <v>-19.675925925925942</v>
      </c>
      <c r="BJ182" s="13"/>
      <c r="BK182" s="13" t="s">
        <v>116</v>
      </c>
      <c r="BL182" s="13">
        <v>0</v>
      </c>
      <c r="BM182" s="13">
        <f>FAR[[#This Row],[Accumulated depreciation (Opening balance)]]+FAR[[#This Row],[Depreciation YTD]]+FAR[[#This Row],[Derecognitions (acc dep) '[+']]]</f>
        <v>-4250</v>
      </c>
      <c r="BN182" s="13"/>
      <c r="BO182" s="13"/>
      <c r="BP182" s="13"/>
      <c r="BQ182" s="13"/>
      <c r="BR18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82" s="13">
        <f>FAR[[#This Row],[Cost Price (closing balance)]]+FAR[[#This Row],[Accumulated depreciation (Closing balance)]]+FAR[[#This Row],[Accumulated impairments (Closing balance)]]</f>
        <v>0</v>
      </c>
      <c r="BT182" s="13"/>
      <c r="BU182" s="13"/>
      <c r="BV182" s="13"/>
      <c r="BW182" s="10" t="s">
        <v>167</v>
      </c>
      <c r="BX182" s="9" t="s">
        <v>168</v>
      </c>
      <c r="BY182" s="10"/>
      <c r="BZ182" t="s">
        <v>999</v>
      </c>
      <c r="CA182"/>
      <c r="CB182" s="34"/>
      <c r="CC182" s="34"/>
      <c r="CD182" s="34"/>
      <c r="CE182" s="141"/>
    </row>
    <row r="183" spans="1:83">
      <c r="A183" s="35" t="s">
        <v>353</v>
      </c>
      <c r="B183" s="9">
        <v>0</v>
      </c>
      <c r="C183" s="9" t="s">
        <v>54</v>
      </c>
      <c r="D183" s="10" t="s">
        <v>1</v>
      </c>
      <c r="E183" s="9" t="s">
        <v>115</v>
      </c>
      <c r="F183" s="36" t="s">
        <v>99</v>
      </c>
      <c r="G183" s="9" t="s">
        <v>100</v>
      </c>
      <c r="H183" s="3" t="s">
        <v>128</v>
      </c>
      <c r="I183" s="9" t="s">
        <v>100</v>
      </c>
      <c r="J183" s="36" t="s">
        <v>101</v>
      </c>
      <c r="K183" s="10" t="s">
        <v>559</v>
      </c>
      <c r="L183" s="10" t="s">
        <v>559</v>
      </c>
      <c r="M183" s="9" t="s">
        <v>100</v>
      </c>
      <c r="N183" s="10" t="s">
        <v>513</v>
      </c>
      <c r="O183" s="9" t="s">
        <v>100</v>
      </c>
      <c r="P183" s="10"/>
      <c r="Q183" s="10" t="s">
        <v>513</v>
      </c>
      <c r="R183" s="10" t="s">
        <v>119</v>
      </c>
      <c r="S183" s="10" t="s">
        <v>130</v>
      </c>
      <c r="T183" s="10" t="s">
        <v>120</v>
      </c>
      <c r="U183" s="10" t="s">
        <v>101</v>
      </c>
      <c r="V183" s="10" t="s">
        <v>121</v>
      </c>
      <c r="W183" s="10" t="s">
        <v>122</v>
      </c>
      <c r="X183" s="10" t="s">
        <v>123</v>
      </c>
      <c r="Y183" s="29">
        <v>1</v>
      </c>
      <c r="Z183" s="138" t="s">
        <v>586</v>
      </c>
      <c r="AA183" s="138">
        <v>41533</v>
      </c>
      <c r="AB183" s="9" t="s">
        <v>114</v>
      </c>
      <c r="AC183" s="9" t="s">
        <v>124</v>
      </c>
      <c r="AD183" s="15">
        <v>44651</v>
      </c>
      <c r="AE183" s="39" t="s">
        <v>125</v>
      </c>
      <c r="AF183" s="177">
        <v>6</v>
      </c>
      <c r="AG183" s="140">
        <v>0</v>
      </c>
      <c r="AH183" s="9">
        <v>0</v>
      </c>
      <c r="AI183" s="10" t="s">
        <v>126</v>
      </c>
      <c r="AJ183" s="10"/>
      <c r="AK183" s="29"/>
      <c r="AL183" s="12">
        <v>1</v>
      </c>
      <c r="AM183" s="10"/>
      <c r="AN183" s="12">
        <f>FAR[[#This Row],[Opening RUL]]+FAR[[#This Row],[RUL Adjustment]]</f>
        <v>1</v>
      </c>
      <c r="AO183" s="12">
        <f>FAR[[#This Row],[Opening RUL 30 June 2026]]-1</f>
        <v>0</v>
      </c>
      <c r="AP183" s="12">
        <v>0</v>
      </c>
      <c r="AQ183" s="139"/>
      <c r="AR183" s="10" t="s">
        <v>127</v>
      </c>
      <c r="AS183" s="13">
        <v>1600</v>
      </c>
      <c r="AT183" s="13"/>
      <c r="AU183" s="13">
        <v>0</v>
      </c>
      <c r="AV183" s="13">
        <v>0</v>
      </c>
      <c r="AW183" s="13">
        <v>0</v>
      </c>
      <c r="AX183" s="13">
        <v>1600</v>
      </c>
      <c r="AY183" s="13">
        <v>88.888888888888687</v>
      </c>
      <c r="AZ183" s="13">
        <v>0</v>
      </c>
      <c r="BA183" s="13"/>
      <c r="BB183" s="13"/>
      <c r="BC183" s="13">
        <v>-1511.1111111111113</v>
      </c>
      <c r="BD183" s="13"/>
      <c r="BE183" s="13" t="s">
        <v>114</v>
      </c>
      <c r="BF183" s="29"/>
      <c r="BG183" s="13"/>
      <c r="BH183" s="13">
        <f>-FAR[[#This Row],[Carrying value (opening balance)]]/FAR[[#This Row],[Opening RUL 30 June 2026]]</f>
        <v>-88.888888888888687</v>
      </c>
      <c r="BI183" s="13">
        <f>FAR[[#This Row],[Depreciation YTD]]/12</f>
        <v>-7.4074074074073906</v>
      </c>
      <c r="BJ183" s="13"/>
      <c r="BK183" s="13" t="s">
        <v>116</v>
      </c>
      <c r="BL183" s="13">
        <v>0</v>
      </c>
      <c r="BM183" s="13">
        <f>FAR[[#This Row],[Accumulated depreciation (Opening balance)]]+FAR[[#This Row],[Depreciation YTD]]+FAR[[#This Row],[Derecognitions (acc dep) '[+']]]</f>
        <v>-1600</v>
      </c>
      <c r="BN183" s="13"/>
      <c r="BO183" s="13"/>
      <c r="BP183" s="13"/>
      <c r="BQ183" s="13"/>
      <c r="BR18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83" s="13">
        <f>FAR[[#This Row],[Cost Price (closing balance)]]+FAR[[#This Row],[Accumulated depreciation (Closing balance)]]+FAR[[#This Row],[Accumulated impairments (Closing balance)]]</f>
        <v>0</v>
      </c>
      <c r="BT183" s="13"/>
      <c r="BU183" s="13"/>
      <c r="BV183" s="13"/>
      <c r="BW183" s="10" t="s">
        <v>167</v>
      </c>
      <c r="BX183" s="9" t="s">
        <v>168</v>
      </c>
      <c r="BY183" s="10"/>
      <c r="BZ183">
        <v>0</v>
      </c>
      <c r="CA183"/>
      <c r="CB183" s="34"/>
      <c r="CC183" s="34"/>
      <c r="CD183" s="34"/>
      <c r="CE183" s="141"/>
    </row>
    <row r="184" spans="1:83">
      <c r="A184" s="35" t="s">
        <v>354</v>
      </c>
      <c r="B184" s="9" t="s">
        <v>859</v>
      </c>
      <c r="C184" s="9" t="s">
        <v>54</v>
      </c>
      <c r="D184" s="10" t="s">
        <v>1</v>
      </c>
      <c r="E184" s="9" t="s">
        <v>115</v>
      </c>
      <c r="F184" s="36" t="s">
        <v>99</v>
      </c>
      <c r="G184" s="9" t="s">
        <v>100</v>
      </c>
      <c r="H184" s="3" t="s">
        <v>128</v>
      </c>
      <c r="I184" s="9" t="s">
        <v>100</v>
      </c>
      <c r="J184" s="36" t="s">
        <v>101</v>
      </c>
      <c r="K184" s="10" t="s">
        <v>559</v>
      </c>
      <c r="L184" s="10" t="s">
        <v>559</v>
      </c>
      <c r="M184" s="9" t="s">
        <v>100</v>
      </c>
      <c r="N184" s="10" t="s">
        <v>514</v>
      </c>
      <c r="O184" s="9" t="s">
        <v>100</v>
      </c>
      <c r="P184" s="10"/>
      <c r="Q184" s="10" t="s">
        <v>514</v>
      </c>
      <c r="R184" s="10" t="s">
        <v>119</v>
      </c>
      <c r="S184" s="10" t="s">
        <v>130</v>
      </c>
      <c r="T184" s="10" t="s">
        <v>120</v>
      </c>
      <c r="U184" s="10" t="s">
        <v>101</v>
      </c>
      <c r="V184" s="10" t="s">
        <v>121</v>
      </c>
      <c r="W184" s="10" t="s">
        <v>122</v>
      </c>
      <c r="X184" s="10" t="s">
        <v>123</v>
      </c>
      <c r="Y184" s="29">
        <v>1</v>
      </c>
      <c r="Z184" s="138" t="s">
        <v>587</v>
      </c>
      <c r="AA184" s="138">
        <v>41586</v>
      </c>
      <c r="AB184" s="9" t="s">
        <v>114</v>
      </c>
      <c r="AC184" s="9" t="s">
        <v>124</v>
      </c>
      <c r="AD184" s="15">
        <v>44651</v>
      </c>
      <c r="AE184" s="39" t="s">
        <v>125</v>
      </c>
      <c r="AF184" s="177">
        <v>6</v>
      </c>
      <c r="AG184" s="140">
        <v>0</v>
      </c>
      <c r="AH184" s="9">
        <v>0</v>
      </c>
      <c r="AI184" s="10" t="s">
        <v>126</v>
      </c>
      <c r="AJ184" s="10"/>
      <c r="AK184" s="29"/>
      <c r="AL184" s="12">
        <v>1</v>
      </c>
      <c r="AM184" s="10"/>
      <c r="AN184" s="12">
        <f>FAR[[#This Row],[Opening RUL]]+FAR[[#This Row],[RUL Adjustment]]</f>
        <v>1</v>
      </c>
      <c r="AO184" s="12">
        <f>FAR[[#This Row],[Opening RUL 30 June 2026]]-1</f>
        <v>0</v>
      </c>
      <c r="AP184" s="12" t="s">
        <v>1050</v>
      </c>
      <c r="AQ184" s="139"/>
      <c r="AR184" s="10" t="s">
        <v>127</v>
      </c>
      <c r="AS184" s="13">
        <v>4900</v>
      </c>
      <c r="AT184" s="13"/>
      <c r="AU184" s="13">
        <v>0</v>
      </c>
      <c r="AV184" s="13">
        <v>0</v>
      </c>
      <c r="AW184" s="13">
        <v>0</v>
      </c>
      <c r="AX184" s="13">
        <v>4900</v>
      </c>
      <c r="AY184" s="13">
        <v>272.22222222222263</v>
      </c>
      <c r="AZ184" s="13">
        <v>0</v>
      </c>
      <c r="BA184" s="13"/>
      <c r="BB184" s="13"/>
      <c r="BC184" s="13">
        <v>-4627.7777777777774</v>
      </c>
      <c r="BD184" s="13"/>
      <c r="BE184" s="13" t="s">
        <v>114</v>
      </c>
      <c r="BF184" s="29"/>
      <c r="BG184" s="13"/>
      <c r="BH184" s="13">
        <f>-FAR[[#This Row],[Carrying value (opening balance)]]/FAR[[#This Row],[Opening RUL 30 June 2026]]</f>
        <v>-272.22222222222263</v>
      </c>
      <c r="BI184" s="13">
        <f>FAR[[#This Row],[Depreciation YTD]]/12</f>
        <v>-22.685185185185219</v>
      </c>
      <c r="BJ184" s="13"/>
      <c r="BK184" s="13" t="s">
        <v>116</v>
      </c>
      <c r="BL184" s="13">
        <v>0</v>
      </c>
      <c r="BM184" s="13">
        <f>FAR[[#This Row],[Accumulated depreciation (Opening balance)]]+FAR[[#This Row],[Depreciation YTD]]+FAR[[#This Row],[Derecognitions (acc dep) '[+']]]</f>
        <v>-4900</v>
      </c>
      <c r="BN184" s="13"/>
      <c r="BO184" s="13"/>
      <c r="BP184" s="13"/>
      <c r="BQ184" s="13"/>
      <c r="BR18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84" s="13">
        <f>FAR[[#This Row],[Cost Price (closing balance)]]+FAR[[#This Row],[Accumulated depreciation (Closing balance)]]+FAR[[#This Row],[Accumulated impairments (Closing balance)]]</f>
        <v>0</v>
      </c>
      <c r="BT184" s="13"/>
      <c r="BU184" s="13"/>
      <c r="BV184" s="13"/>
      <c r="BW184" s="10" t="s">
        <v>167</v>
      </c>
      <c r="BX184" s="9" t="s">
        <v>168</v>
      </c>
      <c r="BY184" s="10"/>
      <c r="BZ184" t="s">
        <v>944</v>
      </c>
      <c r="CA184"/>
      <c r="CB184" s="34"/>
      <c r="CC184" s="34"/>
      <c r="CD184" s="34"/>
      <c r="CE184" s="141"/>
    </row>
    <row r="185" spans="1:83">
      <c r="A185" s="35" t="s">
        <v>355</v>
      </c>
      <c r="B185" s="9" t="s">
        <v>907</v>
      </c>
      <c r="C185" s="9" t="s">
        <v>54</v>
      </c>
      <c r="D185" s="10" t="s">
        <v>1</v>
      </c>
      <c r="E185" s="9" t="s">
        <v>115</v>
      </c>
      <c r="F185" s="36" t="s">
        <v>99</v>
      </c>
      <c r="G185" s="9" t="s">
        <v>100</v>
      </c>
      <c r="H185" s="3" t="s">
        <v>128</v>
      </c>
      <c r="I185" s="9" t="s">
        <v>100</v>
      </c>
      <c r="J185" s="36" t="s">
        <v>101</v>
      </c>
      <c r="K185" s="10" t="s">
        <v>559</v>
      </c>
      <c r="L185" s="10" t="s">
        <v>559</v>
      </c>
      <c r="M185" s="9" t="s">
        <v>100</v>
      </c>
      <c r="N185" s="10" t="s">
        <v>509</v>
      </c>
      <c r="O185" s="9" t="s">
        <v>100</v>
      </c>
      <c r="P185" s="10"/>
      <c r="Q185" s="10" t="s">
        <v>509</v>
      </c>
      <c r="R185" s="10" t="s">
        <v>119</v>
      </c>
      <c r="S185" s="10" t="s">
        <v>130</v>
      </c>
      <c r="T185" s="10" t="s">
        <v>120</v>
      </c>
      <c r="U185" s="10" t="s">
        <v>101</v>
      </c>
      <c r="V185" s="10" t="s">
        <v>121</v>
      </c>
      <c r="W185" s="10" t="s">
        <v>122</v>
      </c>
      <c r="X185" s="10" t="s">
        <v>123</v>
      </c>
      <c r="Y185" s="29">
        <v>1</v>
      </c>
      <c r="Z185" s="138" t="s">
        <v>586</v>
      </c>
      <c r="AA185" s="138">
        <v>41533</v>
      </c>
      <c r="AB185" s="9" t="s">
        <v>114</v>
      </c>
      <c r="AC185" s="9" t="s">
        <v>124</v>
      </c>
      <c r="AD185" s="15">
        <v>44651</v>
      </c>
      <c r="AE185" s="39" t="s">
        <v>125</v>
      </c>
      <c r="AF185" s="177">
        <v>6</v>
      </c>
      <c r="AG185" s="140">
        <v>0</v>
      </c>
      <c r="AH185" s="9">
        <v>0</v>
      </c>
      <c r="AI185" s="10" t="s">
        <v>126</v>
      </c>
      <c r="AJ185" s="10"/>
      <c r="AK185" s="29"/>
      <c r="AL185" s="12">
        <v>1</v>
      </c>
      <c r="AM185" s="10"/>
      <c r="AN185" s="12">
        <f>FAR[[#This Row],[Opening RUL]]+FAR[[#This Row],[RUL Adjustment]]</f>
        <v>1</v>
      </c>
      <c r="AO185" s="12">
        <f>FAR[[#This Row],[Opening RUL 30 June 2026]]-1</f>
        <v>0</v>
      </c>
      <c r="AP185" s="12" t="s">
        <v>1050</v>
      </c>
      <c r="AQ185" s="139"/>
      <c r="AR185" s="10" t="s">
        <v>127</v>
      </c>
      <c r="AS185" s="13">
        <v>4250</v>
      </c>
      <c r="AT185" s="13"/>
      <c r="AU185" s="13">
        <v>0</v>
      </c>
      <c r="AV185" s="13">
        <v>0</v>
      </c>
      <c r="AW185" s="13">
        <v>0</v>
      </c>
      <c r="AX185" s="13">
        <v>4250</v>
      </c>
      <c r="AY185" s="13">
        <v>236.11111111111131</v>
      </c>
      <c r="AZ185" s="13">
        <v>0</v>
      </c>
      <c r="BA185" s="13"/>
      <c r="BB185" s="13"/>
      <c r="BC185" s="13">
        <v>-4013.8888888888887</v>
      </c>
      <c r="BD185" s="13"/>
      <c r="BE185" s="13" t="s">
        <v>114</v>
      </c>
      <c r="BF185" s="29"/>
      <c r="BG185" s="13"/>
      <c r="BH185" s="13">
        <f>-FAR[[#This Row],[Carrying value (opening balance)]]/FAR[[#This Row],[Opening RUL 30 June 2026]]</f>
        <v>-236.11111111111131</v>
      </c>
      <c r="BI185" s="13">
        <f>FAR[[#This Row],[Depreciation YTD]]/12</f>
        <v>-19.675925925925942</v>
      </c>
      <c r="BJ185" s="13"/>
      <c r="BK185" s="13" t="s">
        <v>116</v>
      </c>
      <c r="BL185" s="13">
        <v>0</v>
      </c>
      <c r="BM185" s="13">
        <f>FAR[[#This Row],[Accumulated depreciation (Opening balance)]]+FAR[[#This Row],[Depreciation YTD]]+FAR[[#This Row],[Derecognitions (acc dep) '[+']]]</f>
        <v>-4250</v>
      </c>
      <c r="BN185" s="13"/>
      <c r="BO185" s="13"/>
      <c r="BP185" s="13"/>
      <c r="BQ185" s="13"/>
      <c r="BR18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85" s="13">
        <f>FAR[[#This Row],[Cost Price (closing balance)]]+FAR[[#This Row],[Accumulated depreciation (Closing balance)]]+FAR[[#This Row],[Accumulated impairments (Closing balance)]]</f>
        <v>0</v>
      </c>
      <c r="BT185" s="13"/>
      <c r="BU185" s="13"/>
      <c r="BV185" s="13"/>
      <c r="BW185" s="10" t="s">
        <v>167</v>
      </c>
      <c r="BX185" s="9" t="s">
        <v>168</v>
      </c>
      <c r="BY185" s="10"/>
      <c r="BZ185" t="s">
        <v>1000</v>
      </c>
      <c r="CA185"/>
      <c r="CB185" s="34"/>
      <c r="CC185" s="34"/>
      <c r="CD185" s="34"/>
      <c r="CE185" s="141"/>
    </row>
    <row r="186" spans="1:83">
      <c r="A186" s="35" t="s">
        <v>356</v>
      </c>
      <c r="B186" s="9" t="s">
        <v>908</v>
      </c>
      <c r="C186" s="9" t="s">
        <v>54</v>
      </c>
      <c r="D186" s="10" t="s">
        <v>1</v>
      </c>
      <c r="E186" s="9" t="s">
        <v>115</v>
      </c>
      <c r="F186" s="36" t="s">
        <v>99</v>
      </c>
      <c r="G186" s="9" t="s">
        <v>100</v>
      </c>
      <c r="H186" s="3" t="s">
        <v>128</v>
      </c>
      <c r="I186" s="9" t="s">
        <v>100</v>
      </c>
      <c r="J186" s="36" t="s">
        <v>101</v>
      </c>
      <c r="K186" s="10" t="s">
        <v>559</v>
      </c>
      <c r="L186" s="10" t="s">
        <v>559</v>
      </c>
      <c r="M186" s="9" t="s">
        <v>100</v>
      </c>
      <c r="N186" s="10" t="s">
        <v>509</v>
      </c>
      <c r="O186" s="9" t="s">
        <v>100</v>
      </c>
      <c r="P186" s="10"/>
      <c r="Q186" s="10" t="s">
        <v>509</v>
      </c>
      <c r="R186" s="10" t="s">
        <v>119</v>
      </c>
      <c r="S186" s="10" t="s">
        <v>130</v>
      </c>
      <c r="T186" s="10" t="s">
        <v>120</v>
      </c>
      <c r="U186" s="10" t="s">
        <v>101</v>
      </c>
      <c r="V186" s="10" t="s">
        <v>121</v>
      </c>
      <c r="W186" s="10" t="s">
        <v>122</v>
      </c>
      <c r="X186" s="10" t="s">
        <v>123</v>
      </c>
      <c r="Y186" s="29">
        <v>1</v>
      </c>
      <c r="Z186" s="138" t="s">
        <v>586</v>
      </c>
      <c r="AA186" s="138">
        <v>41533</v>
      </c>
      <c r="AB186" s="9" t="s">
        <v>114</v>
      </c>
      <c r="AC186" s="9" t="s">
        <v>124</v>
      </c>
      <c r="AD186" s="15">
        <v>44651</v>
      </c>
      <c r="AE186" s="39" t="s">
        <v>125</v>
      </c>
      <c r="AF186" s="177">
        <v>6</v>
      </c>
      <c r="AG186" s="140">
        <v>0</v>
      </c>
      <c r="AH186" s="9">
        <v>0</v>
      </c>
      <c r="AI186" s="10" t="s">
        <v>126</v>
      </c>
      <c r="AJ186" s="10"/>
      <c r="AK186" s="29"/>
      <c r="AL186" s="12">
        <v>1</v>
      </c>
      <c r="AM186" s="10"/>
      <c r="AN186" s="12">
        <f>FAR[[#This Row],[Opening RUL]]+FAR[[#This Row],[RUL Adjustment]]</f>
        <v>1</v>
      </c>
      <c r="AO186" s="12">
        <f>FAR[[#This Row],[Opening RUL 30 June 2026]]-1</f>
        <v>0</v>
      </c>
      <c r="AP186" s="12" t="s">
        <v>1050</v>
      </c>
      <c r="AQ186" s="139"/>
      <c r="AR186" s="10" t="s">
        <v>127</v>
      </c>
      <c r="AS186" s="13">
        <v>4250</v>
      </c>
      <c r="AT186" s="13"/>
      <c r="AU186" s="13">
        <v>0</v>
      </c>
      <c r="AV186" s="13">
        <v>0</v>
      </c>
      <c r="AW186" s="13">
        <v>0</v>
      </c>
      <c r="AX186" s="13">
        <v>4250</v>
      </c>
      <c r="AY186" s="13">
        <v>236.11111111111131</v>
      </c>
      <c r="AZ186" s="13">
        <v>0</v>
      </c>
      <c r="BA186" s="13"/>
      <c r="BB186" s="13"/>
      <c r="BC186" s="13">
        <v>-4013.8888888888887</v>
      </c>
      <c r="BD186" s="13"/>
      <c r="BE186" s="13" t="s">
        <v>114</v>
      </c>
      <c r="BF186" s="29"/>
      <c r="BG186" s="13"/>
      <c r="BH186" s="13">
        <f>-FAR[[#This Row],[Carrying value (opening balance)]]/FAR[[#This Row],[Opening RUL 30 June 2026]]</f>
        <v>-236.11111111111131</v>
      </c>
      <c r="BI186" s="13">
        <f>FAR[[#This Row],[Depreciation YTD]]/12</f>
        <v>-19.675925925925942</v>
      </c>
      <c r="BJ186" s="13"/>
      <c r="BK186" s="13" t="s">
        <v>116</v>
      </c>
      <c r="BL186" s="13">
        <v>0</v>
      </c>
      <c r="BM186" s="13">
        <f>FAR[[#This Row],[Accumulated depreciation (Opening balance)]]+FAR[[#This Row],[Depreciation YTD]]+FAR[[#This Row],[Derecognitions (acc dep) '[+']]]</f>
        <v>-4250</v>
      </c>
      <c r="BN186" s="13"/>
      <c r="BO186" s="13"/>
      <c r="BP186" s="13"/>
      <c r="BQ186" s="13"/>
      <c r="BR18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86" s="13">
        <f>FAR[[#This Row],[Cost Price (closing balance)]]+FAR[[#This Row],[Accumulated depreciation (Closing balance)]]+FAR[[#This Row],[Accumulated impairments (Closing balance)]]</f>
        <v>0</v>
      </c>
      <c r="BT186" s="13"/>
      <c r="BU186" s="13"/>
      <c r="BV186" s="13"/>
      <c r="BW186" s="10" t="s">
        <v>167</v>
      </c>
      <c r="BX186" s="9" t="s">
        <v>168</v>
      </c>
      <c r="BY186" s="10"/>
      <c r="BZ186" t="s">
        <v>1001</v>
      </c>
      <c r="CA186"/>
      <c r="CB186" s="34"/>
      <c r="CC186" s="34"/>
      <c r="CD186" s="34"/>
      <c r="CE186" s="141"/>
    </row>
    <row r="187" spans="1:83">
      <c r="A187" s="35" t="s">
        <v>357</v>
      </c>
      <c r="B187" s="9" t="s">
        <v>867</v>
      </c>
      <c r="C187" s="9" t="s">
        <v>54</v>
      </c>
      <c r="D187" s="10" t="s">
        <v>1</v>
      </c>
      <c r="E187" s="9" t="s">
        <v>115</v>
      </c>
      <c r="F187" s="36" t="s">
        <v>99</v>
      </c>
      <c r="G187" s="9" t="s">
        <v>100</v>
      </c>
      <c r="H187" s="3" t="s">
        <v>128</v>
      </c>
      <c r="I187" s="9" t="s">
        <v>100</v>
      </c>
      <c r="J187" s="36" t="s">
        <v>101</v>
      </c>
      <c r="K187" s="10" t="s">
        <v>559</v>
      </c>
      <c r="L187" s="10" t="s">
        <v>559</v>
      </c>
      <c r="M187" s="9" t="s">
        <v>100</v>
      </c>
      <c r="N187" s="10" t="s">
        <v>509</v>
      </c>
      <c r="O187" s="9" t="s">
        <v>100</v>
      </c>
      <c r="P187" s="10"/>
      <c r="Q187" s="10" t="s">
        <v>509</v>
      </c>
      <c r="R187" s="10" t="s">
        <v>119</v>
      </c>
      <c r="S187" s="10" t="s">
        <v>130</v>
      </c>
      <c r="T187" s="10" t="s">
        <v>120</v>
      </c>
      <c r="U187" s="10" t="s">
        <v>101</v>
      </c>
      <c r="V187" s="10" t="s">
        <v>121</v>
      </c>
      <c r="W187" s="10" t="s">
        <v>122</v>
      </c>
      <c r="X187" s="10" t="s">
        <v>123</v>
      </c>
      <c r="Y187" s="29">
        <v>1</v>
      </c>
      <c r="Z187" s="138" t="s">
        <v>586</v>
      </c>
      <c r="AA187" s="138">
        <v>41533</v>
      </c>
      <c r="AB187" s="9" t="s">
        <v>114</v>
      </c>
      <c r="AC187" s="9" t="s">
        <v>124</v>
      </c>
      <c r="AD187" s="15">
        <v>44651</v>
      </c>
      <c r="AE187" s="39" t="s">
        <v>125</v>
      </c>
      <c r="AF187" s="177">
        <v>6</v>
      </c>
      <c r="AG187" s="140">
        <v>0</v>
      </c>
      <c r="AH187" s="9">
        <v>0</v>
      </c>
      <c r="AI187" s="10" t="s">
        <v>126</v>
      </c>
      <c r="AJ187" s="10"/>
      <c r="AK187" s="29"/>
      <c r="AL187" s="12">
        <v>1</v>
      </c>
      <c r="AM187" s="10"/>
      <c r="AN187" s="12">
        <f>FAR[[#This Row],[Opening RUL]]+FAR[[#This Row],[RUL Adjustment]]</f>
        <v>1</v>
      </c>
      <c r="AO187" s="12">
        <f>FAR[[#This Row],[Opening RUL 30 June 2026]]-1</f>
        <v>0</v>
      </c>
      <c r="AP187" s="12" t="s">
        <v>1052</v>
      </c>
      <c r="AQ187" s="139"/>
      <c r="AR187" s="10" t="s">
        <v>127</v>
      </c>
      <c r="AS187" s="13">
        <v>4250</v>
      </c>
      <c r="AT187" s="13"/>
      <c r="AU187" s="13">
        <v>0</v>
      </c>
      <c r="AV187" s="13">
        <v>0</v>
      </c>
      <c r="AW187" s="13">
        <v>0</v>
      </c>
      <c r="AX187" s="13">
        <v>4250</v>
      </c>
      <c r="AY187" s="13">
        <v>236.11111111111131</v>
      </c>
      <c r="AZ187" s="13">
        <v>0</v>
      </c>
      <c r="BA187" s="13"/>
      <c r="BB187" s="13"/>
      <c r="BC187" s="13">
        <v>-4013.8888888888887</v>
      </c>
      <c r="BD187" s="13"/>
      <c r="BE187" s="13" t="s">
        <v>114</v>
      </c>
      <c r="BF187" s="29"/>
      <c r="BG187" s="13"/>
      <c r="BH187" s="13">
        <f>-FAR[[#This Row],[Carrying value (opening balance)]]/FAR[[#This Row],[Opening RUL 30 June 2026]]</f>
        <v>-236.11111111111131</v>
      </c>
      <c r="BI187" s="13">
        <f>FAR[[#This Row],[Depreciation YTD]]/12</f>
        <v>-19.675925925925942</v>
      </c>
      <c r="BJ187" s="13"/>
      <c r="BK187" s="13" t="s">
        <v>116</v>
      </c>
      <c r="BL187" s="13">
        <v>0</v>
      </c>
      <c r="BM187" s="13">
        <f>FAR[[#This Row],[Accumulated depreciation (Opening balance)]]+FAR[[#This Row],[Depreciation YTD]]+FAR[[#This Row],[Derecognitions (acc dep) '[+']]]</f>
        <v>-4250</v>
      </c>
      <c r="BN187" s="13"/>
      <c r="BO187" s="13"/>
      <c r="BP187" s="13"/>
      <c r="BQ187" s="13"/>
      <c r="BR18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87" s="13">
        <f>FAR[[#This Row],[Cost Price (closing balance)]]+FAR[[#This Row],[Accumulated depreciation (Closing balance)]]+FAR[[#This Row],[Accumulated impairments (Closing balance)]]</f>
        <v>0</v>
      </c>
      <c r="BT187" s="13"/>
      <c r="BU187" s="13"/>
      <c r="BV187" s="13"/>
      <c r="BW187" s="10" t="s">
        <v>167</v>
      </c>
      <c r="BX187" s="9" t="s">
        <v>168</v>
      </c>
      <c r="BY187" s="10"/>
      <c r="BZ187" t="s">
        <v>951</v>
      </c>
      <c r="CA187"/>
      <c r="CB187" s="34"/>
      <c r="CC187" s="34"/>
      <c r="CD187" s="34"/>
      <c r="CE187" s="141"/>
    </row>
    <row r="188" spans="1:83">
      <c r="A188" s="35" t="s">
        <v>358</v>
      </c>
      <c r="B188" s="9" t="s">
        <v>873</v>
      </c>
      <c r="C188" s="9" t="s">
        <v>54</v>
      </c>
      <c r="D188" s="10" t="s">
        <v>1</v>
      </c>
      <c r="E188" s="9" t="s">
        <v>115</v>
      </c>
      <c r="F188" s="36" t="s">
        <v>99</v>
      </c>
      <c r="G188" s="9" t="s">
        <v>100</v>
      </c>
      <c r="H188" s="3" t="s">
        <v>128</v>
      </c>
      <c r="I188" s="9" t="s">
        <v>100</v>
      </c>
      <c r="J188" s="36" t="s">
        <v>101</v>
      </c>
      <c r="K188" s="10" t="s">
        <v>559</v>
      </c>
      <c r="L188" s="10" t="s">
        <v>559</v>
      </c>
      <c r="M188" s="9" t="s">
        <v>100</v>
      </c>
      <c r="N188" s="10" t="s">
        <v>509</v>
      </c>
      <c r="O188" s="9" t="s">
        <v>100</v>
      </c>
      <c r="P188" s="10"/>
      <c r="Q188" s="10" t="s">
        <v>509</v>
      </c>
      <c r="R188" s="10" t="s">
        <v>119</v>
      </c>
      <c r="S188" s="10" t="s">
        <v>130</v>
      </c>
      <c r="T188" s="10" t="s">
        <v>120</v>
      </c>
      <c r="U188" s="10" t="s">
        <v>101</v>
      </c>
      <c r="V188" s="10" t="s">
        <v>121</v>
      </c>
      <c r="W188" s="10" t="s">
        <v>122</v>
      </c>
      <c r="X188" s="10" t="s">
        <v>123</v>
      </c>
      <c r="Y188" s="29">
        <v>1</v>
      </c>
      <c r="Z188" s="138" t="s">
        <v>586</v>
      </c>
      <c r="AA188" s="138">
        <v>41533</v>
      </c>
      <c r="AB188" s="9" t="s">
        <v>114</v>
      </c>
      <c r="AC188" s="9" t="s">
        <v>124</v>
      </c>
      <c r="AD188" s="15">
        <v>44651</v>
      </c>
      <c r="AE188" s="39" t="s">
        <v>125</v>
      </c>
      <c r="AF188" s="177">
        <v>6</v>
      </c>
      <c r="AG188" s="140">
        <v>0</v>
      </c>
      <c r="AH188" s="9">
        <v>0</v>
      </c>
      <c r="AI188" s="10" t="s">
        <v>126</v>
      </c>
      <c r="AJ188" s="10"/>
      <c r="AK188" s="29"/>
      <c r="AL188" s="12">
        <v>1</v>
      </c>
      <c r="AM188" s="10"/>
      <c r="AN188" s="12">
        <f>FAR[[#This Row],[Opening RUL]]+FAR[[#This Row],[RUL Adjustment]]</f>
        <v>1</v>
      </c>
      <c r="AO188" s="12">
        <f>FAR[[#This Row],[Opening RUL 30 June 2026]]-1</f>
        <v>0</v>
      </c>
      <c r="AP188" s="12" t="s">
        <v>1050</v>
      </c>
      <c r="AQ188" s="139"/>
      <c r="AR188" s="10" t="s">
        <v>127</v>
      </c>
      <c r="AS188" s="13">
        <v>4250</v>
      </c>
      <c r="AT188" s="13"/>
      <c r="AU188" s="13">
        <v>0</v>
      </c>
      <c r="AV188" s="13">
        <v>0</v>
      </c>
      <c r="AW188" s="13">
        <v>0</v>
      </c>
      <c r="AX188" s="13">
        <v>4250</v>
      </c>
      <c r="AY188" s="13">
        <v>236.11111111111131</v>
      </c>
      <c r="AZ188" s="13">
        <v>0</v>
      </c>
      <c r="BA188" s="13"/>
      <c r="BB188" s="13"/>
      <c r="BC188" s="13">
        <v>-4013.8888888888887</v>
      </c>
      <c r="BD188" s="13"/>
      <c r="BE188" s="13" t="s">
        <v>114</v>
      </c>
      <c r="BF188" s="29"/>
      <c r="BG188" s="13"/>
      <c r="BH188" s="13">
        <f>-FAR[[#This Row],[Carrying value (opening balance)]]/FAR[[#This Row],[Opening RUL 30 June 2026]]</f>
        <v>-236.11111111111131</v>
      </c>
      <c r="BI188" s="13">
        <f>FAR[[#This Row],[Depreciation YTD]]/12</f>
        <v>-19.675925925925942</v>
      </c>
      <c r="BJ188" s="13"/>
      <c r="BK188" s="13" t="s">
        <v>116</v>
      </c>
      <c r="BL188" s="13">
        <v>0</v>
      </c>
      <c r="BM188" s="13">
        <f>FAR[[#This Row],[Accumulated depreciation (Opening balance)]]+FAR[[#This Row],[Depreciation YTD]]+FAR[[#This Row],[Derecognitions (acc dep) '[+']]]</f>
        <v>-4250</v>
      </c>
      <c r="BN188" s="13"/>
      <c r="BO188" s="13"/>
      <c r="BP188" s="13"/>
      <c r="BQ188" s="13"/>
      <c r="BR18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88" s="13">
        <f>FAR[[#This Row],[Cost Price (closing balance)]]+FAR[[#This Row],[Accumulated depreciation (Closing balance)]]+FAR[[#This Row],[Accumulated impairments (Closing balance)]]</f>
        <v>0</v>
      </c>
      <c r="BT188" s="13"/>
      <c r="BU188" s="13"/>
      <c r="BV188" s="13"/>
      <c r="BW188" s="10" t="s">
        <v>167</v>
      </c>
      <c r="BX188" s="9" t="s">
        <v>168</v>
      </c>
      <c r="BY188" s="10"/>
      <c r="BZ188" t="s">
        <v>957</v>
      </c>
      <c r="CA188"/>
      <c r="CB188" s="34"/>
      <c r="CC188" s="34"/>
      <c r="CD188" s="34"/>
      <c r="CE188" s="141"/>
    </row>
    <row r="189" spans="1:83">
      <c r="A189" s="35" t="s">
        <v>359</v>
      </c>
      <c r="B189" s="9" t="s">
        <v>903</v>
      </c>
      <c r="C189" s="9" t="s">
        <v>54</v>
      </c>
      <c r="D189" s="10" t="s">
        <v>1</v>
      </c>
      <c r="E189" s="9" t="s">
        <v>115</v>
      </c>
      <c r="F189" s="36" t="s">
        <v>99</v>
      </c>
      <c r="G189" s="9" t="s">
        <v>100</v>
      </c>
      <c r="H189" s="3" t="s">
        <v>128</v>
      </c>
      <c r="I189" s="9" t="s">
        <v>100</v>
      </c>
      <c r="J189" s="36" t="s">
        <v>101</v>
      </c>
      <c r="K189" s="10" t="s">
        <v>559</v>
      </c>
      <c r="L189" s="10" t="s">
        <v>559</v>
      </c>
      <c r="M189" s="9" t="s">
        <v>100</v>
      </c>
      <c r="N189" s="10" t="s">
        <v>509</v>
      </c>
      <c r="O189" s="9" t="s">
        <v>100</v>
      </c>
      <c r="P189" s="10"/>
      <c r="Q189" s="10" t="s">
        <v>509</v>
      </c>
      <c r="R189" s="10" t="s">
        <v>119</v>
      </c>
      <c r="S189" s="10" t="s">
        <v>130</v>
      </c>
      <c r="T189" s="10" t="s">
        <v>120</v>
      </c>
      <c r="U189" s="10" t="s">
        <v>101</v>
      </c>
      <c r="V189" s="10" t="s">
        <v>121</v>
      </c>
      <c r="W189" s="10" t="s">
        <v>122</v>
      </c>
      <c r="X189" s="10" t="s">
        <v>123</v>
      </c>
      <c r="Y189" s="29">
        <v>1</v>
      </c>
      <c r="Z189" s="138" t="s">
        <v>586</v>
      </c>
      <c r="AA189" s="138">
        <v>41533</v>
      </c>
      <c r="AB189" s="9" t="s">
        <v>114</v>
      </c>
      <c r="AC189" s="9" t="s">
        <v>124</v>
      </c>
      <c r="AD189" s="15">
        <v>44651</v>
      </c>
      <c r="AE189" s="39" t="s">
        <v>125</v>
      </c>
      <c r="AF189" s="177">
        <v>6</v>
      </c>
      <c r="AG189" s="140">
        <v>0</v>
      </c>
      <c r="AH189" s="9">
        <v>0</v>
      </c>
      <c r="AI189" s="10" t="s">
        <v>126</v>
      </c>
      <c r="AJ189" s="10"/>
      <c r="AK189" s="29"/>
      <c r="AL189" s="12">
        <v>1</v>
      </c>
      <c r="AM189" s="10"/>
      <c r="AN189" s="12">
        <f>FAR[[#This Row],[Opening RUL]]+FAR[[#This Row],[RUL Adjustment]]</f>
        <v>1</v>
      </c>
      <c r="AO189" s="12">
        <f>FAR[[#This Row],[Opening RUL 30 June 2026]]-1</f>
        <v>0</v>
      </c>
      <c r="AP189" s="12" t="s">
        <v>1050</v>
      </c>
      <c r="AQ189" s="139"/>
      <c r="AR189" s="10" t="s">
        <v>127</v>
      </c>
      <c r="AS189" s="13">
        <v>4250</v>
      </c>
      <c r="AT189" s="13"/>
      <c r="AU189" s="13">
        <v>0</v>
      </c>
      <c r="AV189" s="13">
        <v>0</v>
      </c>
      <c r="AW189" s="13">
        <v>0</v>
      </c>
      <c r="AX189" s="13">
        <v>4250</v>
      </c>
      <c r="AY189" s="13">
        <v>236.11111111111131</v>
      </c>
      <c r="AZ189" s="13">
        <v>0</v>
      </c>
      <c r="BA189" s="13"/>
      <c r="BB189" s="13"/>
      <c r="BC189" s="13">
        <v>-4013.8888888888887</v>
      </c>
      <c r="BD189" s="13"/>
      <c r="BE189" s="13" t="s">
        <v>114</v>
      </c>
      <c r="BF189" s="29"/>
      <c r="BG189" s="13"/>
      <c r="BH189" s="13">
        <f>-FAR[[#This Row],[Carrying value (opening balance)]]/FAR[[#This Row],[Opening RUL 30 June 2026]]</f>
        <v>-236.11111111111131</v>
      </c>
      <c r="BI189" s="13">
        <f>FAR[[#This Row],[Depreciation YTD]]/12</f>
        <v>-19.675925925925942</v>
      </c>
      <c r="BJ189" s="13"/>
      <c r="BK189" s="13" t="s">
        <v>116</v>
      </c>
      <c r="BL189" s="13">
        <v>0</v>
      </c>
      <c r="BM189" s="13">
        <f>FAR[[#This Row],[Accumulated depreciation (Opening balance)]]+FAR[[#This Row],[Depreciation YTD]]+FAR[[#This Row],[Derecognitions (acc dep) '[+']]]</f>
        <v>-4250</v>
      </c>
      <c r="BN189" s="13"/>
      <c r="BO189" s="13"/>
      <c r="BP189" s="13"/>
      <c r="BQ189" s="13"/>
      <c r="BR18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89" s="13">
        <f>FAR[[#This Row],[Cost Price (closing balance)]]+FAR[[#This Row],[Accumulated depreciation (Closing balance)]]+FAR[[#This Row],[Accumulated impairments (Closing balance)]]</f>
        <v>0</v>
      </c>
      <c r="BT189" s="13"/>
      <c r="BU189" s="13"/>
      <c r="BV189" s="13"/>
      <c r="BW189" s="10" t="s">
        <v>167</v>
      </c>
      <c r="BX189" s="9" t="s">
        <v>168</v>
      </c>
      <c r="BY189" s="10"/>
      <c r="BZ189" t="s">
        <v>994</v>
      </c>
      <c r="CA189"/>
      <c r="CB189" s="34"/>
      <c r="CC189" s="34"/>
      <c r="CD189" s="34"/>
      <c r="CE189" s="141"/>
    </row>
    <row r="190" spans="1:83">
      <c r="A190" s="35" t="s">
        <v>360</v>
      </c>
      <c r="B190" s="9" t="s">
        <v>877</v>
      </c>
      <c r="C190" s="9" t="s">
        <v>54</v>
      </c>
      <c r="D190" s="10" t="s">
        <v>1</v>
      </c>
      <c r="E190" s="9" t="s">
        <v>115</v>
      </c>
      <c r="F190" s="36" t="s">
        <v>99</v>
      </c>
      <c r="G190" s="9" t="s">
        <v>100</v>
      </c>
      <c r="H190" s="3" t="s">
        <v>128</v>
      </c>
      <c r="I190" s="9" t="s">
        <v>100</v>
      </c>
      <c r="J190" s="36" t="s">
        <v>101</v>
      </c>
      <c r="K190" s="10" t="s">
        <v>559</v>
      </c>
      <c r="L190" s="10" t="s">
        <v>559</v>
      </c>
      <c r="M190" s="9" t="s">
        <v>100</v>
      </c>
      <c r="N190" s="10" t="s">
        <v>516</v>
      </c>
      <c r="O190" s="9" t="s">
        <v>100</v>
      </c>
      <c r="P190" s="10"/>
      <c r="Q190" s="10" t="s">
        <v>516</v>
      </c>
      <c r="R190" s="10" t="s">
        <v>119</v>
      </c>
      <c r="S190" s="10" t="s">
        <v>130</v>
      </c>
      <c r="T190" s="10" t="s">
        <v>120</v>
      </c>
      <c r="U190" s="10" t="s">
        <v>101</v>
      </c>
      <c r="V190" s="10" t="s">
        <v>121</v>
      </c>
      <c r="W190" s="10" t="s">
        <v>122</v>
      </c>
      <c r="X190" s="10" t="s">
        <v>123</v>
      </c>
      <c r="Y190" s="29">
        <v>1</v>
      </c>
      <c r="Z190" s="138" t="s">
        <v>586</v>
      </c>
      <c r="AA190" s="138">
        <v>41533</v>
      </c>
      <c r="AB190" s="9" t="s">
        <v>114</v>
      </c>
      <c r="AC190" s="9" t="s">
        <v>124</v>
      </c>
      <c r="AD190" s="15">
        <v>44651</v>
      </c>
      <c r="AE190" s="39" t="s">
        <v>125</v>
      </c>
      <c r="AF190" s="177">
        <v>6</v>
      </c>
      <c r="AG190" s="140">
        <v>0</v>
      </c>
      <c r="AH190" s="9">
        <v>0</v>
      </c>
      <c r="AI190" s="10" t="s">
        <v>126</v>
      </c>
      <c r="AJ190" s="10"/>
      <c r="AK190" s="29"/>
      <c r="AL190" s="12">
        <v>1</v>
      </c>
      <c r="AM190" s="10"/>
      <c r="AN190" s="12">
        <f>FAR[[#This Row],[Opening RUL]]+FAR[[#This Row],[RUL Adjustment]]</f>
        <v>1</v>
      </c>
      <c r="AO190" s="12">
        <f>FAR[[#This Row],[Opening RUL 30 June 2026]]-1</f>
        <v>0</v>
      </c>
      <c r="AP190" s="12" t="s">
        <v>1052</v>
      </c>
      <c r="AQ190" s="139"/>
      <c r="AR190" s="10" t="s">
        <v>127</v>
      </c>
      <c r="AS190" s="13">
        <v>4250</v>
      </c>
      <c r="AT190" s="13"/>
      <c r="AU190" s="13">
        <v>0</v>
      </c>
      <c r="AV190" s="13">
        <v>0</v>
      </c>
      <c r="AW190" s="13">
        <v>0</v>
      </c>
      <c r="AX190" s="13">
        <v>4250</v>
      </c>
      <c r="AY190" s="13">
        <v>236.11111111111131</v>
      </c>
      <c r="AZ190" s="13">
        <v>0</v>
      </c>
      <c r="BA190" s="13"/>
      <c r="BB190" s="13"/>
      <c r="BC190" s="13">
        <v>-4013.8888888888887</v>
      </c>
      <c r="BD190" s="13"/>
      <c r="BE190" s="13" t="s">
        <v>114</v>
      </c>
      <c r="BF190" s="29"/>
      <c r="BG190" s="13"/>
      <c r="BH190" s="13">
        <f>-FAR[[#This Row],[Carrying value (opening balance)]]/FAR[[#This Row],[Opening RUL 30 June 2026]]</f>
        <v>-236.11111111111131</v>
      </c>
      <c r="BI190" s="13">
        <f>FAR[[#This Row],[Depreciation YTD]]/12</f>
        <v>-19.675925925925942</v>
      </c>
      <c r="BJ190" s="13"/>
      <c r="BK190" s="13" t="s">
        <v>116</v>
      </c>
      <c r="BL190" s="13">
        <v>0</v>
      </c>
      <c r="BM190" s="13">
        <f>FAR[[#This Row],[Accumulated depreciation (Opening balance)]]+FAR[[#This Row],[Depreciation YTD]]+FAR[[#This Row],[Derecognitions (acc dep) '[+']]]</f>
        <v>-4250</v>
      </c>
      <c r="BN190" s="13"/>
      <c r="BO190" s="13"/>
      <c r="BP190" s="13"/>
      <c r="BQ190" s="13"/>
      <c r="BR19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90" s="13">
        <f>FAR[[#This Row],[Cost Price (closing balance)]]+FAR[[#This Row],[Accumulated depreciation (Closing balance)]]+FAR[[#This Row],[Accumulated impairments (Closing balance)]]</f>
        <v>0</v>
      </c>
      <c r="BT190" s="13"/>
      <c r="BU190" s="13"/>
      <c r="BV190" s="13"/>
      <c r="BW190" s="10" t="s">
        <v>167</v>
      </c>
      <c r="BX190" s="9" t="s">
        <v>168</v>
      </c>
      <c r="BY190" s="10"/>
      <c r="BZ190" t="s">
        <v>1002</v>
      </c>
      <c r="CA190"/>
      <c r="CB190" s="34"/>
      <c r="CC190" s="34"/>
      <c r="CD190" s="34"/>
      <c r="CE190" s="141"/>
    </row>
    <row r="191" spans="1:83">
      <c r="A191" s="35" t="s">
        <v>361</v>
      </c>
      <c r="B191" s="9" t="s">
        <v>884</v>
      </c>
      <c r="C191" s="9" t="s">
        <v>54</v>
      </c>
      <c r="D191" s="10" t="s">
        <v>1</v>
      </c>
      <c r="E191" s="9" t="s">
        <v>115</v>
      </c>
      <c r="F191" s="36" t="s">
        <v>99</v>
      </c>
      <c r="G191" s="9" t="s">
        <v>100</v>
      </c>
      <c r="H191" s="3" t="s">
        <v>128</v>
      </c>
      <c r="I191" s="9" t="s">
        <v>100</v>
      </c>
      <c r="J191" s="36" t="s">
        <v>101</v>
      </c>
      <c r="K191" s="10" t="s">
        <v>559</v>
      </c>
      <c r="L191" s="10" t="s">
        <v>559</v>
      </c>
      <c r="M191" s="9" t="s">
        <v>100</v>
      </c>
      <c r="N191" s="10" t="s">
        <v>514</v>
      </c>
      <c r="O191" s="9" t="s">
        <v>100</v>
      </c>
      <c r="P191" s="10"/>
      <c r="Q191" s="10" t="s">
        <v>514</v>
      </c>
      <c r="R191" s="10" t="s">
        <v>119</v>
      </c>
      <c r="S191" s="10" t="s">
        <v>130</v>
      </c>
      <c r="T191" s="10" t="s">
        <v>120</v>
      </c>
      <c r="U191" s="10" t="s">
        <v>101</v>
      </c>
      <c r="V191" s="10" t="s">
        <v>121</v>
      </c>
      <c r="W191" s="10" t="s">
        <v>122</v>
      </c>
      <c r="X191" s="10" t="s">
        <v>123</v>
      </c>
      <c r="Y191" s="29">
        <v>1</v>
      </c>
      <c r="Z191" s="138" t="s">
        <v>586</v>
      </c>
      <c r="AA191" s="138">
        <v>41533</v>
      </c>
      <c r="AB191" s="9" t="s">
        <v>114</v>
      </c>
      <c r="AC191" s="9" t="s">
        <v>124</v>
      </c>
      <c r="AD191" s="15">
        <v>44651</v>
      </c>
      <c r="AE191" s="39" t="s">
        <v>125</v>
      </c>
      <c r="AF191" s="177">
        <v>6</v>
      </c>
      <c r="AG191" s="140">
        <v>0</v>
      </c>
      <c r="AH191" s="9">
        <v>0</v>
      </c>
      <c r="AI191" s="10" t="s">
        <v>126</v>
      </c>
      <c r="AJ191" s="10"/>
      <c r="AK191" s="29"/>
      <c r="AL191" s="12">
        <v>1</v>
      </c>
      <c r="AM191" s="10"/>
      <c r="AN191" s="12">
        <f>FAR[[#This Row],[Opening RUL]]+FAR[[#This Row],[RUL Adjustment]]</f>
        <v>1</v>
      </c>
      <c r="AO191" s="12">
        <f>FAR[[#This Row],[Opening RUL 30 June 2026]]-1</f>
        <v>0</v>
      </c>
      <c r="AP191" s="12" t="s">
        <v>1050</v>
      </c>
      <c r="AQ191" s="139"/>
      <c r="AR191" s="10" t="s">
        <v>127</v>
      </c>
      <c r="AS191" s="13">
        <v>2616.25</v>
      </c>
      <c r="AT191" s="13"/>
      <c r="AU191" s="13">
        <v>0</v>
      </c>
      <c r="AV191" s="13">
        <v>0</v>
      </c>
      <c r="AW191" s="13">
        <v>0</v>
      </c>
      <c r="AX191" s="13">
        <v>2616.25</v>
      </c>
      <c r="AY191" s="13">
        <v>145.34722222222217</v>
      </c>
      <c r="AZ191" s="13">
        <v>0</v>
      </c>
      <c r="BA191" s="13"/>
      <c r="BB191" s="13"/>
      <c r="BC191" s="13">
        <v>-2470.9027777777778</v>
      </c>
      <c r="BD191" s="13"/>
      <c r="BE191" s="13" t="s">
        <v>114</v>
      </c>
      <c r="BF191" s="29"/>
      <c r="BG191" s="13"/>
      <c r="BH191" s="13">
        <f>-FAR[[#This Row],[Carrying value (opening balance)]]/FAR[[#This Row],[Opening RUL 30 June 2026]]</f>
        <v>-145.34722222222217</v>
      </c>
      <c r="BI191" s="13">
        <f>FAR[[#This Row],[Depreciation YTD]]/12</f>
        <v>-12.112268518518514</v>
      </c>
      <c r="BJ191" s="13"/>
      <c r="BK191" s="13" t="s">
        <v>116</v>
      </c>
      <c r="BL191" s="13">
        <v>0</v>
      </c>
      <c r="BM191" s="13">
        <f>FAR[[#This Row],[Accumulated depreciation (Opening balance)]]+FAR[[#This Row],[Depreciation YTD]]+FAR[[#This Row],[Derecognitions (acc dep) '[+']]]</f>
        <v>-2616.25</v>
      </c>
      <c r="BN191" s="13"/>
      <c r="BO191" s="13"/>
      <c r="BP191" s="13"/>
      <c r="BQ191" s="13"/>
      <c r="BR19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91" s="13">
        <f>FAR[[#This Row],[Cost Price (closing balance)]]+FAR[[#This Row],[Accumulated depreciation (Closing balance)]]+FAR[[#This Row],[Accumulated impairments (Closing balance)]]</f>
        <v>0</v>
      </c>
      <c r="BT191" s="13"/>
      <c r="BU191" s="13"/>
      <c r="BV191" s="13"/>
      <c r="BW191" s="10" t="s">
        <v>167</v>
      </c>
      <c r="BX191" s="9" t="s">
        <v>168</v>
      </c>
      <c r="BY191" s="10"/>
      <c r="BZ191" t="s">
        <v>1003</v>
      </c>
      <c r="CA191"/>
      <c r="CB191" s="34"/>
      <c r="CC191" s="34"/>
      <c r="CD191" s="34"/>
      <c r="CE191" s="141"/>
    </row>
    <row r="192" spans="1:83">
      <c r="A192" s="35" t="s">
        <v>362</v>
      </c>
      <c r="B192" s="9" t="s">
        <v>877</v>
      </c>
      <c r="C192" s="9" t="s">
        <v>54</v>
      </c>
      <c r="D192" s="10" t="s">
        <v>1</v>
      </c>
      <c r="E192" s="9" t="s">
        <v>115</v>
      </c>
      <c r="F192" s="36" t="s">
        <v>99</v>
      </c>
      <c r="G192" s="9" t="s">
        <v>100</v>
      </c>
      <c r="H192" s="3" t="s">
        <v>128</v>
      </c>
      <c r="I192" s="9" t="s">
        <v>100</v>
      </c>
      <c r="J192" s="36" t="s">
        <v>101</v>
      </c>
      <c r="K192" s="10" t="s">
        <v>559</v>
      </c>
      <c r="L192" s="10" t="s">
        <v>559</v>
      </c>
      <c r="M192" s="9" t="s">
        <v>100</v>
      </c>
      <c r="N192" s="10" t="s">
        <v>509</v>
      </c>
      <c r="O192" s="9" t="s">
        <v>100</v>
      </c>
      <c r="P192" s="10"/>
      <c r="Q192" s="10" t="s">
        <v>509</v>
      </c>
      <c r="R192" s="10" t="s">
        <v>119</v>
      </c>
      <c r="S192" s="10" t="s">
        <v>130</v>
      </c>
      <c r="T192" s="10" t="s">
        <v>120</v>
      </c>
      <c r="U192" s="10" t="s">
        <v>101</v>
      </c>
      <c r="V192" s="10" t="s">
        <v>121</v>
      </c>
      <c r="W192" s="10" t="s">
        <v>122</v>
      </c>
      <c r="X192" s="10" t="s">
        <v>123</v>
      </c>
      <c r="Y192" s="29">
        <v>1</v>
      </c>
      <c r="Z192" s="138" t="s">
        <v>586</v>
      </c>
      <c r="AA192" s="138">
        <v>41533</v>
      </c>
      <c r="AB192" s="9" t="s">
        <v>114</v>
      </c>
      <c r="AC192" s="9" t="s">
        <v>124</v>
      </c>
      <c r="AD192" s="15">
        <v>44651</v>
      </c>
      <c r="AE192" s="39" t="s">
        <v>125</v>
      </c>
      <c r="AF192" s="177">
        <v>6</v>
      </c>
      <c r="AG192" s="140">
        <v>0</v>
      </c>
      <c r="AH192" s="9">
        <v>0</v>
      </c>
      <c r="AI192" s="10" t="s">
        <v>126</v>
      </c>
      <c r="AJ192" s="10"/>
      <c r="AK192" s="29"/>
      <c r="AL192" s="12">
        <v>1</v>
      </c>
      <c r="AM192" s="10"/>
      <c r="AN192" s="12">
        <f>FAR[[#This Row],[Opening RUL]]+FAR[[#This Row],[RUL Adjustment]]</f>
        <v>1</v>
      </c>
      <c r="AO192" s="12">
        <f>FAR[[#This Row],[Opening RUL 30 June 2026]]-1</f>
        <v>0</v>
      </c>
      <c r="AP192" s="12" t="s">
        <v>1052</v>
      </c>
      <c r="AQ192" s="139"/>
      <c r="AR192" s="10" t="s">
        <v>127</v>
      </c>
      <c r="AS192" s="13">
        <v>4250</v>
      </c>
      <c r="AT192" s="13"/>
      <c r="AU192" s="13">
        <v>0</v>
      </c>
      <c r="AV192" s="13">
        <v>0</v>
      </c>
      <c r="AW192" s="13">
        <v>0</v>
      </c>
      <c r="AX192" s="13">
        <v>4250</v>
      </c>
      <c r="AY192" s="13">
        <v>236.11111111111131</v>
      </c>
      <c r="AZ192" s="13">
        <v>0</v>
      </c>
      <c r="BA192" s="13"/>
      <c r="BB192" s="13"/>
      <c r="BC192" s="13">
        <v>-4013.8888888888887</v>
      </c>
      <c r="BD192" s="13"/>
      <c r="BE192" s="13" t="s">
        <v>114</v>
      </c>
      <c r="BF192" s="29"/>
      <c r="BG192" s="13"/>
      <c r="BH192" s="13">
        <f>-FAR[[#This Row],[Carrying value (opening balance)]]/FAR[[#This Row],[Opening RUL 30 June 2026]]</f>
        <v>-236.11111111111131</v>
      </c>
      <c r="BI192" s="13">
        <f>FAR[[#This Row],[Depreciation YTD]]/12</f>
        <v>-19.675925925925942</v>
      </c>
      <c r="BJ192" s="13"/>
      <c r="BK192" s="13" t="s">
        <v>116</v>
      </c>
      <c r="BL192" s="13">
        <v>0</v>
      </c>
      <c r="BM192" s="13">
        <f>FAR[[#This Row],[Accumulated depreciation (Opening balance)]]+FAR[[#This Row],[Depreciation YTD]]+FAR[[#This Row],[Derecognitions (acc dep) '[+']]]</f>
        <v>-4250</v>
      </c>
      <c r="BN192" s="13"/>
      <c r="BO192" s="13"/>
      <c r="BP192" s="13"/>
      <c r="BQ192" s="13"/>
      <c r="BR19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92" s="13">
        <f>FAR[[#This Row],[Cost Price (closing balance)]]+FAR[[#This Row],[Accumulated depreciation (Closing balance)]]+FAR[[#This Row],[Accumulated impairments (Closing balance)]]</f>
        <v>0</v>
      </c>
      <c r="BT192" s="13"/>
      <c r="BU192" s="13"/>
      <c r="BV192" s="13"/>
      <c r="BW192" s="10" t="s">
        <v>167</v>
      </c>
      <c r="BX192" s="9" t="s">
        <v>168</v>
      </c>
      <c r="BY192" s="10"/>
      <c r="BZ192" t="s">
        <v>1004</v>
      </c>
      <c r="CA192"/>
      <c r="CB192" s="34"/>
      <c r="CC192" s="34"/>
      <c r="CD192" s="34"/>
      <c r="CE192" s="141"/>
    </row>
    <row r="193" spans="1:83">
      <c r="A193" s="35" t="s">
        <v>363</v>
      </c>
      <c r="B193" s="9" t="s">
        <v>867</v>
      </c>
      <c r="C193" s="9" t="s">
        <v>54</v>
      </c>
      <c r="D193" s="10" t="s">
        <v>1</v>
      </c>
      <c r="E193" s="9" t="s">
        <v>115</v>
      </c>
      <c r="F193" s="36" t="s">
        <v>99</v>
      </c>
      <c r="G193" s="9" t="s">
        <v>100</v>
      </c>
      <c r="H193" s="3" t="s">
        <v>128</v>
      </c>
      <c r="I193" s="9" t="s">
        <v>100</v>
      </c>
      <c r="J193" s="36" t="s">
        <v>101</v>
      </c>
      <c r="K193" s="10" t="s">
        <v>559</v>
      </c>
      <c r="L193" s="10" t="s">
        <v>559</v>
      </c>
      <c r="M193" s="9" t="s">
        <v>100</v>
      </c>
      <c r="N193" s="10" t="s">
        <v>515</v>
      </c>
      <c r="O193" s="9" t="s">
        <v>100</v>
      </c>
      <c r="P193" s="10"/>
      <c r="Q193" s="10" t="s">
        <v>515</v>
      </c>
      <c r="R193" s="10" t="s">
        <v>119</v>
      </c>
      <c r="S193" s="10" t="s">
        <v>130</v>
      </c>
      <c r="T193" s="10" t="s">
        <v>120</v>
      </c>
      <c r="U193" s="10" t="s">
        <v>101</v>
      </c>
      <c r="V193" s="10" t="s">
        <v>121</v>
      </c>
      <c r="W193" s="10" t="s">
        <v>122</v>
      </c>
      <c r="X193" s="10" t="s">
        <v>123</v>
      </c>
      <c r="Y193" s="29">
        <v>1</v>
      </c>
      <c r="Z193" s="138" t="s">
        <v>586</v>
      </c>
      <c r="AA193" s="138">
        <v>41533</v>
      </c>
      <c r="AB193" s="9" t="s">
        <v>114</v>
      </c>
      <c r="AC193" s="9" t="s">
        <v>124</v>
      </c>
      <c r="AD193" s="15">
        <v>44651</v>
      </c>
      <c r="AE193" s="39" t="s">
        <v>125</v>
      </c>
      <c r="AF193" s="177">
        <v>6</v>
      </c>
      <c r="AG193" s="140">
        <v>0</v>
      </c>
      <c r="AH193" s="9">
        <v>0</v>
      </c>
      <c r="AI193" s="10" t="s">
        <v>126</v>
      </c>
      <c r="AJ193" s="10"/>
      <c r="AK193" s="29"/>
      <c r="AL193" s="12">
        <v>1</v>
      </c>
      <c r="AM193" s="10"/>
      <c r="AN193" s="12">
        <f>FAR[[#This Row],[Opening RUL]]+FAR[[#This Row],[RUL Adjustment]]</f>
        <v>1</v>
      </c>
      <c r="AO193" s="12">
        <f>FAR[[#This Row],[Opening RUL 30 June 2026]]-1</f>
        <v>0</v>
      </c>
      <c r="AP193" s="12" t="s">
        <v>1053</v>
      </c>
      <c r="AQ193" s="139"/>
      <c r="AR193" s="10" t="s">
        <v>127</v>
      </c>
      <c r="AS193" s="13">
        <v>1600</v>
      </c>
      <c r="AT193" s="13"/>
      <c r="AU193" s="13">
        <v>0</v>
      </c>
      <c r="AV193" s="13">
        <v>0</v>
      </c>
      <c r="AW193" s="13">
        <v>0</v>
      </c>
      <c r="AX193" s="13">
        <v>1600</v>
      </c>
      <c r="AY193" s="13">
        <v>88.888888888888687</v>
      </c>
      <c r="AZ193" s="13">
        <v>0</v>
      </c>
      <c r="BA193" s="13"/>
      <c r="BB193" s="13"/>
      <c r="BC193" s="13">
        <v>-1511.1111111111113</v>
      </c>
      <c r="BD193" s="13"/>
      <c r="BE193" s="13" t="s">
        <v>114</v>
      </c>
      <c r="BF193" s="29"/>
      <c r="BG193" s="13"/>
      <c r="BH193" s="13">
        <f>-FAR[[#This Row],[Carrying value (opening balance)]]/FAR[[#This Row],[Opening RUL 30 June 2026]]</f>
        <v>-88.888888888888687</v>
      </c>
      <c r="BI193" s="13">
        <f>FAR[[#This Row],[Depreciation YTD]]/12</f>
        <v>-7.4074074074073906</v>
      </c>
      <c r="BJ193" s="13"/>
      <c r="BK193" s="13" t="s">
        <v>116</v>
      </c>
      <c r="BL193" s="13">
        <v>0</v>
      </c>
      <c r="BM193" s="13">
        <f>FAR[[#This Row],[Accumulated depreciation (Opening balance)]]+FAR[[#This Row],[Depreciation YTD]]+FAR[[#This Row],[Derecognitions (acc dep) '[+']]]</f>
        <v>-1600</v>
      </c>
      <c r="BN193" s="13"/>
      <c r="BO193" s="13"/>
      <c r="BP193" s="13"/>
      <c r="BQ193" s="13"/>
      <c r="BR19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93" s="13">
        <f>FAR[[#This Row],[Cost Price (closing balance)]]+FAR[[#This Row],[Accumulated depreciation (Closing balance)]]+FAR[[#This Row],[Accumulated impairments (Closing balance)]]</f>
        <v>0</v>
      </c>
      <c r="BT193" s="13"/>
      <c r="BU193" s="13"/>
      <c r="BV193" s="13"/>
      <c r="BW193" s="10" t="s">
        <v>167</v>
      </c>
      <c r="BX193" s="9" t="s">
        <v>168</v>
      </c>
      <c r="BY193" s="10"/>
      <c r="BZ193" t="s">
        <v>1005</v>
      </c>
      <c r="CA193"/>
      <c r="CB193" s="34"/>
      <c r="CC193" s="34"/>
      <c r="CD193" s="34"/>
      <c r="CE193" s="141"/>
    </row>
    <row r="194" spans="1:83">
      <c r="A194" s="35" t="s">
        <v>364</v>
      </c>
      <c r="B194" s="9" t="s">
        <v>868</v>
      </c>
      <c r="C194" s="9" t="s">
        <v>54</v>
      </c>
      <c r="D194" s="10" t="s">
        <v>1</v>
      </c>
      <c r="E194" s="9" t="s">
        <v>115</v>
      </c>
      <c r="F194" s="36" t="s">
        <v>99</v>
      </c>
      <c r="G194" s="9" t="s">
        <v>100</v>
      </c>
      <c r="H194" s="3" t="s">
        <v>128</v>
      </c>
      <c r="I194" s="9" t="s">
        <v>100</v>
      </c>
      <c r="J194" s="36" t="s">
        <v>101</v>
      </c>
      <c r="K194" s="10" t="s">
        <v>559</v>
      </c>
      <c r="L194" s="10" t="s">
        <v>559</v>
      </c>
      <c r="M194" s="9" t="s">
        <v>100</v>
      </c>
      <c r="N194" s="10" t="s">
        <v>515</v>
      </c>
      <c r="O194" s="9" t="s">
        <v>100</v>
      </c>
      <c r="P194" s="10"/>
      <c r="Q194" s="10" t="s">
        <v>515</v>
      </c>
      <c r="R194" s="10" t="s">
        <v>119</v>
      </c>
      <c r="S194" s="10" t="s">
        <v>130</v>
      </c>
      <c r="T194" s="10" t="s">
        <v>120</v>
      </c>
      <c r="U194" s="10" t="s">
        <v>101</v>
      </c>
      <c r="V194" s="10" t="s">
        <v>121</v>
      </c>
      <c r="W194" s="10" t="s">
        <v>122</v>
      </c>
      <c r="X194" s="10" t="s">
        <v>123</v>
      </c>
      <c r="Y194" s="29">
        <v>1</v>
      </c>
      <c r="Z194" s="138" t="s">
        <v>586</v>
      </c>
      <c r="AA194" s="138">
        <v>41533</v>
      </c>
      <c r="AB194" s="9" t="s">
        <v>114</v>
      </c>
      <c r="AC194" s="9" t="s">
        <v>124</v>
      </c>
      <c r="AD194" s="15">
        <v>44651</v>
      </c>
      <c r="AE194" s="39" t="s">
        <v>125</v>
      </c>
      <c r="AF194" s="177">
        <v>6</v>
      </c>
      <c r="AG194" s="140">
        <v>0</v>
      </c>
      <c r="AH194" s="9">
        <v>0</v>
      </c>
      <c r="AI194" s="10" t="s">
        <v>126</v>
      </c>
      <c r="AJ194" s="10"/>
      <c r="AK194" s="29"/>
      <c r="AL194" s="12">
        <v>1</v>
      </c>
      <c r="AM194" s="10"/>
      <c r="AN194" s="12">
        <f>FAR[[#This Row],[Opening RUL]]+FAR[[#This Row],[RUL Adjustment]]</f>
        <v>1</v>
      </c>
      <c r="AO194" s="12">
        <f>FAR[[#This Row],[Opening RUL 30 June 2026]]-1</f>
        <v>0</v>
      </c>
      <c r="AP194" s="12" t="s">
        <v>1052</v>
      </c>
      <c r="AQ194" s="139"/>
      <c r="AR194" s="10" t="s">
        <v>127</v>
      </c>
      <c r="AS194" s="13">
        <v>1600</v>
      </c>
      <c r="AT194" s="13"/>
      <c r="AU194" s="13">
        <v>0</v>
      </c>
      <c r="AV194" s="13">
        <v>0</v>
      </c>
      <c r="AW194" s="13">
        <v>0</v>
      </c>
      <c r="AX194" s="13">
        <v>1600</v>
      </c>
      <c r="AY194" s="13">
        <v>88.888888888888687</v>
      </c>
      <c r="AZ194" s="13">
        <v>0</v>
      </c>
      <c r="BA194" s="13"/>
      <c r="BB194" s="13"/>
      <c r="BC194" s="13">
        <v>-1511.1111111111113</v>
      </c>
      <c r="BD194" s="13"/>
      <c r="BE194" s="13" t="s">
        <v>114</v>
      </c>
      <c r="BF194" s="29"/>
      <c r="BG194" s="13"/>
      <c r="BH194" s="13">
        <f>-FAR[[#This Row],[Carrying value (opening balance)]]/FAR[[#This Row],[Opening RUL 30 June 2026]]</f>
        <v>-88.888888888888687</v>
      </c>
      <c r="BI194" s="13">
        <f>FAR[[#This Row],[Depreciation YTD]]/12</f>
        <v>-7.4074074074073906</v>
      </c>
      <c r="BJ194" s="13"/>
      <c r="BK194" s="13" t="s">
        <v>116</v>
      </c>
      <c r="BL194" s="13">
        <v>0</v>
      </c>
      <c r="BM194" s="13">
        <f>FAR[[#This Row],[Accumulated depreciation (Opening balance)]]+FAR[[#This Row],[Depreciation YTD]]+FAR[[#This Row],[Derecognitions (acc dep) '[+']]]</f>
        <v>-1600</v>
      </c>
      <c r="BN194" s="13"/>
      <c r="BO194" s="13"/>
      <c r="BP194" s="13"/>
      <c r="BQ194" s="13"/>
      <c r="BR19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94" s="13">
        <f>FAR[[#This Row],[Cost Price (closing balance)]]+FAR[[#This Row],[Accumulated depreciation (Closing balance)]]+FAR[[#This Row],[Accumulated impairments (Closing balance)]]</f>
        <v>0</v>
      </c>
      <c r="BT194" s="13"/>
      <c r="BU194" s="13"/>
      <c r="BV194" s="13"/>
      <c r="BW194" s="10" t="s">
        <v>167</v>
      </c>
      <c r="BX194" s="9" t="s">
        <v>168</v>
      </c>
      <c r="BY194" s="10"/>
      <c r="BZ194" t="s">
        <v>1006</v>
      </c>
      <c r="CA194"/>
      <c r="CB194" s="34"/>
      <c r="CC194" s="34"/>
      <c r="CD194" s="34"/>
      <c r="CE194" s="141"/>
    </row>
    <row r="195" spans="1:83">
      <c r="A195" s="35" t="s">
        <v>365</v>
      </c>
      <c r="B195" s="9" t="s">
        <v>891</v>
      </c>
      <c r="C195" s="9" t="s">
        <v>54</v>
      </c>
      <c r="D195" s="10" t="s">
        <v>1</v>
      </c>
      <c r="E195" s="9" t="s">
        <v>115</v>
      </c>
      <c r="F195" s="36" t="s">
        <v>99</v>
      </c>
      <c r="G195" s="9" t="s">
        <v>100</v>
      </c>
      <c r="H195" s="3" t="s">
        <v>128</v>
      </c>
      <c r="I195" s="9" t="s">
        <v>100</v>
      </c>
      <c r="J195" s="36" t="s">
        <v>101</v>
      </c>
      <c r="K195" s="10" t="s">
        <v>559</v>
      </c>
      <c r="L195" s="10" t="s">
        <v>559</v>
      </c>
      <c r="M195" s="9" t="s">
        <v>100</v>
      </c>
      <c r="N195" s="10" t="s">
        <v>514</v>
      </c>
      <c r="O195" s="9" t="s">
        <v>100</v>
      </c>
      <c r="P195" s="10"/>
      <c r="Q195" s="10" t="s">
        <v>514</v>
      </c>
      <c r="R195" s="10" t="s">
        <v>119</v>
      </c>
      <c r="S195" s="10" t="s">
        <v>130</v>
      </c>
      <c r="T195" s="10" t="s">
        <v>120</v>
      </c>
      <c r="U195" s="10" t="s">
        <v>101</v>
      </c>
      <c r="V195" s="10" t="s">
        <v>121</v>
      </c>
      <c r="W195" s="10" t="s">
        <v>122</v>
      </c>
      <c r="X195" s="10" t="s">
        <v>123</v>
      </c>
      <c r="Y195" s="29">
        <v>1</v>
      </c>
      <c r="Z195" s="138" t="s">
        <v>586</v>
      </c>
      <c r="AA195" s="138">
        <v>41533</v>
      </c>
      <c r="AB195" s="9" t="s">
        <v>114</v>
      </c>
      <c r="AC195" s="9" t="s">
        <v>124</v>
      </c>
      <c r="AD195" s="15">
        <v>44651</v>
      </c>
      <c r="AE195" s="39" t="s">
        <v>125</v>
      </c>
      <c r="AF195" s="177">
        <v>6</v>
      </c>
      <c r="AG195" s="140">
        <v>0</v>
      </c>
      <c r="AH195" s="9">
        <v>0</v>
      </c>
      <c r="AI195" s="10" t="s">
        <v>126</v>
      </c>
      <c r="AJ195" s="10"/>
      <c r="AK195" s="29"/>
      <c r="AL195" s="12">
        <v>1</v>
      </c>
      <c r="AM195" s="10"/>
      <c r="AN195" s="12">
        <f>FAR[[#This Row],[Opening RUL]]+FAR[[#This Row],[RUL Adjustment]]</f>
        <v>1</v>
      </c>
      <c r="AO195" s="12">
        <f>FAR[[#This Row],[Opening RUL 30 June 2026]]-1</f>
        <v>0</v>
      </c>
      <c r="AP195" s="12" t="s">
        <v>1050</v>
      </c>
      <c r="AQ195" s="139"/>
      <c r="AR195" s="10" t="s">
        <v>127</v>
      </c>
      <c r="AS195" s="13">
        <v>2616.25</v>
      </c>
      <c r="AT195" s="13"/>
      <c r="AU195" s="13">
        <v>0</v>
      </c>
      <c r="AV195" s="13">
        <v>0</v>
      </c>
      <c r="AW195" s="13">
        <v>0</v>
      </c>
      <c r="AX195" s="13">
        <v>2616.25</v>
      </c>
      <c r="AY195" s="13">
        <v>145.34722222222217</v>
      </c>
      <c r="AZ195" s="13">
        <v>0</v>
      </c>
      <c r="BA195" s="13"/>
      <c r="BB195" s="13"/>
      <c r="BC195" s="13">
        <v>-2470.9027777777778</v>
      </c>
      <c r="BD195" s="13"/>
      <c r="BE195" s="13" t="s">
        <v>114</v>
      </c>
      <c r="BF195" s="29"/>
      <c r="BG195" s="13"/>
      <c r="BH195" s="13">
        <f>-FAR[[#This Row],[Carrying value (opening balance)]]/FAR[[#This Row],[Opening RUL 30 June 2026]]</f>
        <v>-145.34722222222217</v>
      </c>
      <c r="BI195" s="13">
        <f>FAR[[#This Row],[Depreciation YTD]]/12</f>
        <v>-12.112268518518514</v>
      </c>
      <c r="BJ195" s="13"/>
      <c r="BK195" s="13" t="s">
        <v>116</v>
      </c>
      <c r="BL195" s="13">
        <v>0</v>
      </c>
      <c r="BM195" s="13">
        <f>FAR[[#This Row],[Accumulated depreciation (Opening balance)]]+FAR[[#This Row],[Depreciation YTD]]+FAR[[#This Row],[Derecognitions (acc dep) '[+']]]</f>
        <v>-2616.25</v>
      </c>
      <c r="BN195" s="13"/>
      <c r="BO195" s="13"/>
      <c r="BP195" s="13"/>
      <c r="BQ195" s="13"/>
      <c r="BR19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95" s="13">
        <f>FAR[[#This Row],[Cost Price (closing balance)]]+FAR[[#This Row],[Accumulated depreciation (Closing balance)]]+FAR[[#This Row],[Accumulated impairments (Closing balance)]]</f>
        <v>0</v>
      </c>
      <c r="BT195" s="13"/>
      <c r="BU195" s="13"/>
      <c r="BV195" s="13"/>
      <c r="BW195" s="10" t="s">
        <v>167</v>
      </c>
      <c r="BX195" s="9" t="s">
        <v>168</v>
      </c>
      <c r="BY195" s="10"/>
      <c r="BZ195" t="s">
        <v>979</v>
      </c>
      <c r="CA195"/>
      <c r="CB195" s="34"/>
      <c r="CC195" s="34"/>
      <c r="CD195" s="34"/>
      <c r="CE195" s="141"/>
    </row>
    <row r="196" spans="1:83">
      <c r="A196" s="35" t="s">
        <v>366</v>
      </c>
      <c r="B196" s="9" t="s">
        <v>866</v>
      </c>
      <c r="C196" s="9" t="s">
        <v>54</v>
      </c>
      <c r="D196" s="10" t="s">
        <v>1</v>
      </c>
      <c r="E196" s="9" t="s">
        <v>115</v>
      </c>
      <c r="F196" s="36" t="s">
        <v>99</v>
      </c>
      <c r="G196" s="9" t="s">
        <v>100</v>
      </c>
      <c r="H196" s="3" t="s">
        <v>128</v>
      </c>
      <c r="I196" s="9" t="s">
        <v>100</v>
      </c>
      <c r="J196" s="36" t="s">
        <v>101</v>
      </c>
      <c r="K196" s="10" t="s">
        <v>559</v>
      </c>
      <c r="L196" s="10" t="s">
        <v>559</v>
      </c>
      <c r="M196" s="9" t="s">
        <v>100</v>
      </c>
      <c r="N196" s="10" t="s">
        <v>509</v>
      </c>
      <c r="O196" s="9" t="s">
        <v>100</v>
      </c>
      <c r="P196" s="10"/>
      <c r="Q196" s="10" t="s">
        <v>509</v>
      </c>
      <c r="R196" s="10" t="s">
        <v>119</v>
      </c>
      <c r="S196" s="10" t="s">
        <v>130</v>
      </c>
      <c r="T196" s="10" t="s">
        <v>120</v>
      </c>
      <c r="U196" s="10" t="s">
        <v>101</v>
      </c>
      <c r="V196" s="10" t="s">
        <v>121</v>
      </c>
      <c r="W196" s="10" t="s">
        <v>122</v>
      </c>
      <c r="X196" s="10" t="s">
        <v>123</v>
      </c>
      <c r="Y196" s="29">
        <v>1</v>
      </c>
      <c r="Z196" s="138" t="s">
        <v>586</v>
      </c>
      <c r="AA196" s="138">
        <v>41533</v>
      </c>
      <c r="AB196" s="9" t="s">
        <v>114</v>
      </c>
      <c r="AC196" s="9" t="s">
        <v>124</v>
      </c>
      <c r="AD196" s="15">
        <v>44651</v>
      </c>
      <c r="AE196" s="39" t="s">
        <v>125</v>
      </c>
      <c r="AF196" s="177">
        <v>6</v>
      </c>
      <c r="AG196" s="140">
        <v>0</v>
      </c>
      <c r="AH196" s="9">
        <v>0</v>
      </c>
      <c r="AI196" s="10" t="s">
        <v>126</v>
      </c>
      <c r="AJ196" s="10"/>
      <c r="AK196" s="29"/>
      <c r="AL196" s="12">
        <v>1</v>
      </c>
      <c r="AM196" s="10"/>
      <c r="AN196" s="12">
        <f>FAR[[#This Row],[Opening RUL]]+FAR[[#This Row],[RUL Adjustment]]</f>
        <v>1</v>
      </c>
      <c r="AO196" s="12">
        <f>FAR[[#This Row],[Opening RUL 30 June 2026]]-1</f>
        <v>0</v>
      </c>
      <c r="AP196" s="12" t="s">
        <v>1050</v>
      </c>
      <c r="AQ196" s="139"/>
      <c r="AR196" s="10" t="s">
        <v>127</v>
      </c>
      <c r="AS196" s="13">
        <v>4250</v>
      </c>
      <c r="AT196" s="13"/>
      <c r="AU196" s="13">
        <v>0</v>
      </c>
      <c r="AV196" s="13">
        <v>0</v>
      </c>
      <c r="AW196" s="13">
        <v>0</v>
      </c>
      <c r="AX196" s="13">
        <v>4250</v>
      </c>
      <c r="AY196" s="13">
        <v>236.11111111111131</v>
      </c>
      <c r="AZ196" s="13">
        <v>0</v>
      </c>
      <c r="BA196" s="13"/>
      <c r="BB196" s="13"/>
      <c r="BC196" s="13">
        <v>-4013.8888888888887</v>
      </c>
      <c r="BD196" s="13"/>
      <c r="BE196" s="13" t="s">
        <v>114</v>
      </c>
      <c r="BF196" s="29"/>
      <c r="BG196" s="13"/>
      <c r="BH196" s="13">
        <f>-FAR[[#This Row],[Carrying value (opening balance)]]/FAR[[#This Row],[Opening RUL 30 June 2026]]</f>
        <v>-236.11111111111131</v>
      </c>
      <c r="BI196" s="13">
        <f>FAR[[#This Row],[Depreciation YTD]]/12</f>
        <v>-19.675925925925942</v>
      </c>
      <c r="BJ196" s="13"/>
      <c r="BK196" s="13" t="s">
        <v>116</v>
      </c>
      <c r="BL196" s="13">
        <v>0</v>
      </c>
      <c r="BM196" s="13">
        <f>FAR[[#This Row],[Accumulated depreciation (Opening balance)]]+FAR[[#This Row],[Depreciation YTD]]+FAR[[#This Row],[Derecognitions (acc dep) '[+']]]</f>
        <v>-4250</v>
      </c>
      <c r="BN196" s="13"/>
      <c r="BO196" s="13"/>
      <c r="BP196" s="13"/>
      <c r="BQ196" s="13"/>
      <c r="BR19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96" s="13">
        <f>FAR[[#This Row],[Cost Price (closing balance)]]+FAR[[#This Row],[Accumulated depreciation (Closing balance)]]+FAR[[#This Row],[Accumulated impairments (Closing balance)]]</f>
        <v>0</v>
      </c>
      <c r="BT196" s="13"/>
      <c r="BU196" s="13"/>
      <c r="BV196" s="13"/>
      <c r="BW196" s="10" t="s">
        <v>167</v>
      </c>
      <c r="BX196" s="9" t="s">
        <v>168</v>
      </c>
      <c r="BY196" s="10"/>
      <c r="BZ196" t="s">
        <v>985</v>
      </c>
      <c r="CA196"/>
      <c r="CB196" s="34"/>
      <c r="CC196" s="34"/>
      <c r="CD196" s="34"/>
      <c r="CE196" s="141"/>
    </row>
    <row r="197" spans="1:83">
      <c r="A197" s="35" t="s">
        <v>367</v>
      </c>
      <c r="B197" s="9" t="s">
        <v>874</v>
      </c>
      <c r="C197" s="9" t="s">
        <v>54</v>
      </c>
      <c r="D197" s="10" t="s">
        <v>1</v>
      </c>
      <c r="E197" s="9" t="s">
        <v>115</v>
      </c>
      <c r="F197" s="36" t="s">
        <v>99</v>
      </c>
      <c r="G197" s="9" t="s">
        <v>100</v>
      </c>
      <c r="H197" s="3" t="s">
        <v>128</v>
      </c>
      <c r="I197" s="9" t="s">
        <v>100</v>
      </c>
      <c r="J197" s="36" t="s">
        <v>101</v>
      </c>
      <c r="K197" s="10" t="s">
        <v>559</v>
      </c>
      <c r="L197" s="10" t="s">
        <v>559</v>
      </c>
      <c r="M197" s="9" t="s">
        <v>100</v>
      </c>
      <c r="N197" s="10" t="s">
        <v>509</v>
      </c>
      <c r="O197" s="9" t="s">
        <v>100</v>
      </c>
      <c r="P197" s="10"/>
      <c r="Q197" s="10" t="s">
        <v>509</v>
      </c>
      <c r="R197" s="10" t="s">
        <v>119</v>
      </c>
      <c r="S197" s="10" t="s">
        <v>130</v>
      </c>
      <c r="T197" s="10" t="s">
        <v>120</v>
      </c>
      <c r="U197" s="10" t="s">
        <v>101</v>
      </c>
      <c r="V197" s="10" t="s">
        <v>121</v>
      </c>
      <c r="W197" s="10" t="s">
        <v>122</v>
      </c>
      <c r="X197" s="10" t="s">
        <v>123</v>
      </c>
      <c r="Y197" s="29">
        <v>1</v>
      </c>
      <c r="Z197" s="138" t="s">
        <v>586</v>
      </c>
      <c r="AA197" s="138">
        <v>41533</v>
      </c>
      <c r="AB197" s="9" t="s">
        <v>114</v>
      </c>
      <c r="AC197" s="9" t="s">
        <v>124</v>
      </c>
      <c r="AD197" s="15">
        <v>44651</v>
      </c>
      <c r="AE197" s="39" t="s">
        <v>125</v>
      </c>
      <c r="AF197" s="177">
        <v>6</v>
      </c>
      <c r="AG197" s="140">
        <v>0</v>
      </c>
      <c r="AH197" s="9">
        <v>0</v>
      </c>
      <c r="AI197" s="10" t="s">
        <v>126</v>
      </c>
      <c r="AJ197" s="10"/>
      <c r="AK197" s="29"/>
      <c r="AL197" s="12">
        <v>1</v>
      </c>
      <c r="AM197" s="10"/>
      <c r="AN197" s="12">
        <f>FAR[[#This Row],[Opening RUL]]+FAR[[#This Row],[RUL Adjustment]]</f>
        <v>1</v>
      </c>
      <c r="AO197" s="12">
        <f>FAR[[#This Row],[Opening RUL 30 June 2026]]-1</f>
        <v>0</v>
      </c>
      <c r="AP197" s="12" t="s">
        <v>1050</v>
      </c>
      <c r="AQ197" s="139"/>
      <c r="AR197" s="10" t="s">
        <v>127</v>
      </c>
      <c r="AS197" s="13">
        <v>4250</v>
      </c>
      <c r="AT197" s="13"/>
      <c r="AU197" s="13">
        <v>0</v>
      </c>
      <c r="AV197" s="13">
        <v>0</v>
      </c>
      <c r="AW197" s="13">
        <v>0</v>
      </c>
      <c r="AX197" s="13">
        <v>4250</v>
      </c>
      <c r="AY197" s="13">
        <v>236.11111111111131</v>
      </c>
      <c r="AZ197" s="13">
        <v>0</v>
      </c>
      <c r="BA197" s="13"/>
      <c r="BB197" s="13"/>
      <c r="BC197" s="13">
        <v>-4013.8888888888887</v>
      </c>
      <c r="BD197" s="13"/>
      <c r="BE197" s="13" t="s">
        <v>114</v>
      </c>
      <c r="BF197" s="29"/>
      <c r="BG197" s="13"/>
      <c r="BH197" s="13">
        <f>-FAR[[#This Row],[Carrying value (opening balance)]]/FAR[[#This Row],[Opening RUL 30 June 2026]]</f>
        <v>-236.11111111111131</v>
      </c>
      <c r="BI197" s="13">
        <f>FAR[[#This Row],[Depreciation YTD]]/12</f>
        <v>-19.675925925925942</v>
      </c>
      <c r="BJ197" s="13"/>
      <c r="BK197" s="13" t="s">
        <v>116</v>
      </c>
      <c r="BL197" s="13">
        <v>0</v>
      </c>
      <c r="BM197" s="13">
        <f>FAR[[#This Row],[Accumulated depreciation (Opening balance)]]+FAR[[#This Row],[Depreciation YTD]]+FAR[[#This Row],[Derecognitions (acc dep) '[+']]]</f>
        <v>-4250</v>
      </c>
      <c r="BN197" s="13"/>
      <c r="BO197" s="13"/>
      <c r="BP197" s="13"/>
      <c r="BQ197" s="13"/>
      <c r="BR19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97" s="13">
        <f>FAR[[#This Row],[Cost Price (closing balance)]]+FAR[[#This Row],[Accumulated depreciation (Closing balance)]]+FAR[[#This Row],[Accumulated impairments (Closing balance)]]</f>
        <v>0</v>
      </c>
      <c r="BT197" s="13"/>
      <c r="BU197" s="13"/>
      <c r="BV197" s="13"/>
      <c r="BW197" s="10" t="s">
        <v>167</v>
      </c>
      <c r="BX197" s="9" t="s">
        <v>168</v>
      </c>
      <c r="BY197" s="10"/>
      <c r="BZ197" t="s">
        <v>959</v>
      </c>
      <c r="CA197"/>
      <c r="CB197" s="34"/>
      <c r="CC197" s="34"/>
      <c r="CD197" s="34"/>
      <c r="CE197" s="141"/>
    </row>
    <row r="198" spans="1:83">
      <c r="A198" s="35" t="s">
        <v>368</v>
      </c>
      <c r="B198" s="9" t="s">
        <v>858</v>
      </c>
      <c r="C198" s="9" t="s">
        <v>54</v>
      </c>
      <c r="D198" s="10" t="s">
        <v>1</v>
      </c>
      <c r="E198" s="9" t="s">
        <v>115</v>
      </c>
      <c r="F198" s="36" t="s">
        <v>99</v>
      </c>
      <c r="G198" s="9" t="s">
        <v>100</v>
      </c>
      <c r="H198" s="3" t="s">
        <v>128</v>
      </c>
      <c r="I198" s="9" t="s">
        <v>100</v>
      </c>
      <c r="J198" s="36" t="s">
        <v>101</v>
      </c>
      <c r="K198" s="10" t="s">
        <v>559</v>
      </c>
      <c r="L198" s="10" t="s">
        <v>559</v>
      </c>
      <c r="M198" s="9" t="s">
        <v>100</v>
      </c>
      <c r="N198" s="10" t="s">
        <v>517</v>
      </c>
      <c r="O198" s="9" t="s">
        <v>100</v>
      </c>
      <c r="P198" s="10"/>
      <c r="Q198" s="10" t="s">
        <v>517</v>
      </c>
      <c r="R198" s="10" t="s">
        <v>119</v>
      </c>
      <c r="S198" s="10" t="s">
        <v>130</v>
      </c>
      <c r="T198" s="10" t="s">
        <v>120</v>
      </c>
      <c r="U198" s="10" t="s">
        <v>101</v>
      </c>
      <c r="V198" s="10" t="s">
        <v>121</v>
      </c>
      <c r="W198" s="10" t="s">
        <v>122</v>
      </c>
      <c r="X198" s="10" t="s">
        <v>123</v>
      </c>
      <c r="Y198" s="29">
        <v>1</v>
      </c>
      <c r="Z198" s="138" t="s">
        <v>586</v>
      </c>
      <c r="AA198" s="138">
        <v>41533</v>
      </c>
      <c r="AB198" s="9" t="s">
        <v>114</v>
      </c>
      <c r="AC198" s="9" t="s">
        <v>124</v>
      </c>
      <c r="AD198" s="15">
        <v>44651</v>
      </c>
      <c r="AE198" s="39" t="s">
        <v>125</v>
      </c>
      <c r="AF198" s="177">
        <v>6</v>
      </c>
      <c r="AG198" s="140">
        <v>0</v>
      </c>
      <c r="AH198" s="9">
        <v>0</v>
      </c>
      <c r="AI198" s="10" t="s">
        <v>126</v>
      </c>
      <c r="AJ198" s="10"/>
      <c r="AK198" s="29"/>
      <c r="AL198" s="12">
        <v>1</v>
      </c>
      <c r="AM198" s="10"/>
      <c r="AN198" s="12">
        <f>FAR[[#This Row],[Opening RUL]]+FAR[[#This Row],[RUL Adjustment]]</f>
        <v>1</v>
      </c>
      <c r="AO198" s="12">
        <f>FAR[[#This Row],[Opening RUL 30 June 2026]]-1</f>
        <v>0</v>
      </c>
      <c r="AP198" s="12" t="s">
        <v>1050</v>
      </c>
      <c r="AQ198" s="139"/>
      <c r="AR198" s="10" t="s">
        <v>127</v>
      </c>
      <c r="AS198" s="13">
        <v>3400</v>
      </c>
      <c r="AT198" s="13"/>
      <c r="AU198" s="13">
        <v>0</v>
      </c>
      <c r="AV198" s="13">
        <v>0</v>
      </c>
      <c r="AW198" s="13">
        <v>0</v>
      </c>
      <c r="AX198" s="13">
        <v>3400</v>
      </c>
      <c r="AY198" s="13">
        <v>188.88888888888869</v>
      </c>
      <c r="AZ198" s="13">
        <v>0</v>
      </c>
      <c r="BA198" s="13"/>
      <c r="BB198" s="13"/>
      <c r="BC198" s="13">
        <v>-3211.1111111111113</v>
      </c>
      <c r="BD198" s="13"/>
      <c r="BE198" s="13" t="s">
        <v>114</v>
      </c>
      <c r="BF198" s="29"/>
      <c r="BG198" s="13"/>
      <c r="BH198" s="13">
        <f>-FAR[[#This Row],[Carrying value (opening balance)]]/FAR[[#This Row],[Opening RUL 30 June 2026]]</f>
        <v>-188.88888888888869</v>
      </c>
      <c r="BI198" s="13">
        <f>FAR[[#This Row],[Depreciation YTD]]/12</f>
        <v>-15.740740740740724</v>
      </c>
      <c r="BJ198" s="13"/>
      <c r="BK198" s="13" t="s">
        <v>116</v>
      </c>
      <c r="BL198" s="13">
        <v>0</v>
      </c>
      <c r="BM198" s="13">
        <f>FAR[[#This Row],[Accumulated depreciation (Opening balance)]]+FAR[[#This Row],[Depreciation YTD]]+FAR[[#This Row],[Derecognitions (acc dep) '[+']]]</f>
        <v>-3400</v>
      </c>
      <c r="BN198" s="13"/>
      <c r="BO198" s="13"/>
      <c r="BP198" s="13"/>
      <c r="BQ198" s="13"/>
      <c r="BR19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98" s="13">
        <f>FAR[[#This Row],[Cost Price (closing balance)]]+FAR[[#This Row],[Accumulated depreciation (Closing balance)]]+FAR[[#This Row],[Accumulated impairments (Closing balance)]]</f>
        <v>0</v>
      </c>
      <c r="BT198" s="13"/>
      <c r="BU198" s="13"/>
      <c r="BV198" s="13"/>
      <c r="BW198" s="10" t="s">
        <v>167</v>
      </c>
      <c r="BX198" s="9" t="s">
        <v>168</v>
      </c>
      <c r="BY198" s="10"/>
      <c r="BZ198" t="s">
        <v>943</v>
      </c>
      <c r="CA198"/>
      <c r="CB198" s="34"/>
      <c r="CC198" s="34"/>
      <c r="CD198" s="34"/>
      <c r="CE198" s="141"/>
    </row>
    <row r="199" spans="1:83">
      <c r="A199" s="35" t="s">
        <v>369</v>
      </c>
      <c r="B199" s="9" t="s">
        <v>909</v>
      </c>
      <c r="C199" s="9" t="s">
        <v>54</v>
      </c>
      <c r="D199" s="10" t="s">
        <v>1</v>
      </c>
      <c r="E199" s="9" t="s">
        <v>115</v>
      </c>
      <c r="F199" s="36" t="s">
        <v>99</v>
      </c>
      <c r="G199" s="9" t="s">
        <v>100</v>
      </c>
      <c r="H199" s="3" t="s">
        <v>128</v>
      </c>
      <c r="I199" s="9" t="s">
        <v>100</v>
      </c>
      <c r="J199" s="36" t="s">
        <v>101</v>
      </c>
      <c r="K199" s="10" t="s">
        <v>559</v>
      </c>
      <c r="L199" s="10" t="s">
        <v>559</v>
      </c>
      <c r="M199" s="9" t="s">
        <v>100</v>
      </c>
      <c r="N199" s="10" t="s">
        <v>509</v>
      </c>
      <c r="O199" s="9" t="s">
        <v>100</v>
      </c>
      <c r="P199" s="10"/>
      <c r="Q199" s="10" t="s">
        <v>509</v>
      </c>
      <c r="R199" s="10" t="s">
        <v>119</v>
      </c>
      <c r="S199" s="10" t="s">
        <v>130</v>
      </c>
      <c r="T199" s="10" t="s">
        <v>120</v>
      </c>
      <c r="U199" s="10" t="s">
        <v>101</v>
      </c>
      <c r="V199" s="10" t="s">
        <v>121</v>
      </c>
      <c r="W199" s="10" t="s">
        <v>122</v>
      </c>
      <c r="X199" s="10" t="s">
        <v>123</v>
      </c>
      <c r="Y199" s="29">
        <v>1</v>
      </c>
      <c r="Z199" s="138" t="s">
        <v>586</v>
      </c>
      <c r="AA199" s="138">
        <v>41533</v>
      </c>
      <c r="AB199" s="9" t="s">
        <v>114</v>
      </c>
      <c r="AC199" s="9" t="s">
        <v>124</v>
      </c>
      <c r="AD199" s="15">
        <v>44651</v>
      </c>
      <c r="AE199" s="39" t="s">
        <v>125</v>
      </c>
      <c r="AF199" s="177">
        <v>6</v>
      </c>
      <c r="AG199" s="140">
        <v>0</v>
      </c>
      <c r="AH199" s="9">
        <v>0</v>
      </c>
      <c r="AI199" s="10" t="s">
        <v>126</v>
      </c>
      <c r="AJ199" s="10"/>
      <c r="AK199" s="29"/>
      <c r="AL199" s="12">
        <v>1</v>
      </c>
      <c r="AM199" s="10"/>
      <c r="AN199" s="12">
        <f>FAR[[#This Row],[Opening RUL]]+FAR[[#This Row],[RUL Adjustment]]</f>
        <v>1</v>
      </c>
      <c r="AO199" s="12">
        <f>FAR[[#This Row],[Opening RUL 30 June 2026]]-1</f>
        <v>0</v>
      </c>
      <c r="AP199" s="12" t="s">
        <v>1050</v>
      </c>
      <c r="AQ199" s="139"/>
      <c r="AR199" s="10" t="s">
        <v>127</v>
      </c>
      <c r="AS199" s="13">
        <v>4250</v>
      </c>
      <c r="AT199" s="13"/>
      <c r="AU199" s="13">
        <v>0</v>
      </c>
      <c r="AV199" s="13">
        <v>0</v>
      </c>
      <c r="AW199" s="13">
        <v>0</v>
      </c>
      <c r="AX199" s="13">
        <v>4250</v>
      </c>
      <c r="AY199" s="13">
        <v>236.11111111111131</v>
      </c>
      <c r="AZ199" s="13">
        <v>0</v>
      </c>
      <c r="BA199" s="13"/>
      <c r="BB199" s="13"/>
      <c r="BC199" s="13">
        <v>-4013.8888888888887</v>
      </c>
      <c r="BD199" s="13"/>
      <c r="BE199" s="13" t="s">
        <v>114</v>
      </c>
      <c r="BF199" s="29"/>
      <c r="BG199" s="13"/>
      <c r="BH199" s="13">
        <f>-FAR[[#This Row],[Carrying value (opening balance)]]/FAR[[#This Row],[Opening RUL 30 June 2026]]</f>
        <v>-236.11111111111131</v>
      </c>
      <c r="BI199" s="13">
        <f>FAR[[#This Row],[Depreciation YTD]]/12</f>
        <v>-19.675925925925942</v>
      </c>
      <c r="BJ199" s="13"/>
      <c r="BK199" s="13" t="s">
        <v>116</v>
      </c>
      <c r="BL199" s="13">
        <v>0</v>
      </c>
      <c r="BM199" s="13">
        <f>FAR[[#This Row],[Accumulated depreciation (Opening balance)]]+FAR[[#This Row],[Depreciation YTD]]+FAR[[#This Row],[Derecognitions (acc dep) '[+']]]</f>
        <v>-4250</v>
      </c>
      <c r="BN199" s="13"/>
      <c r="BO199" s="13"/>
      <c r="BP199" s="13"/>
      <c r="BQ199" s="13"/>
      <c r="BR19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199" s="13">
        <f>FAR[[#This Row],[Cost Price (closing balance)]]+FAR[[#This Row],[Accumulated depreciation (Closing balance)]]+FAR[[#This Row],[Accumulated impairments (Closing balance)]]</f>
        <v>0</v>
      </c>
      <c r="BT199" s="13"/>
      <c r="BU199" s="13"/>
      <c r="BV199" s="13"/>
      <c r="BW199" s="10" t="s">
        <v>167</v>
      </c>
      <c r="BX199" s="9" t="s">
        <v>168</v>
      </c>
      <c r="BY199" s="10"/>
      <c r="BZ199" t="s">
        <v>1007</v>
      </c>
      <c r="CA199"/>
      <c r="CB199" s="34"/>
      <c r="CC199" s="34"/>
      <c r="CD199" s="34"/>
      <c r="CE199" s="141"/>
    </row>
    <row r="200" spans="1:83">
      <c r="A200" s="35" t="s">
        <v>370</v>
      </c>
      <c r="B200" s="9" t="s">
        <v>877</v>
      </c>
      <c r="C200" s="9" t="s">
        <v>54</v>
      </c>
      <c r="D200" s="10" t="s">
        <v>1</v>
      </c>
      <c r="E200" s="9" t="s">
        <v>115</v>
      </c>
      <c r="F200" s="36" t="s">
        <v>99</v>
      </c>
      <c r="G200" s="9" t="s">
        <v>100</v>
      </c>
      <c r="H200" s="3" t="s">
        <v>128</v>
      </c>
      <c r="I200" s="9" t="s">
        <v>100</v>
      </c>
      <c r="J200" s="36" t="s">
        <v>101</v>
      </c>
      <c r="K200" s="10" t="s">
        <v>559</v>
      </c>
      <c r="L200" s="10" t="s">
        <v>559</v>
      </c>
      <c r="M200" s="9" t="s">
        <v>100</v>
      </c>
      <c r="N200" s="10" t="s">
        <v>509</v>
      </c>
      <c r="O200" s="9" t="s">
        <v>100</v>
      </c>
      <c r="P200" s="10"/>
      <c r="Q200" s="10" t="s">
        <v>509</v>
      </c>
      <c r="R200" s="10" t="s">
        <v>119</v>
      </c>
      <c r="S200" s="10" t="s">
        <v>130</v>
      </c>
      <c r="T200" s="10" t="s">
        <v>120</v>
      </c>
      <c r="U200" s="10" t="s">
        <v>101</v>
      </c>
      <c r="V200" s="10" t="s">
        <v>121</v>
      </c>
      <c r="W200" s="10" t="s">
        <v>122</v>
      </c>
      <c r="X200" s="10" t="s">
        <v>123</v>
      </c>
      <c r="Y200" s="29">
        <v>1</v>
      </c>
      <c r="Z200" s="138" t="s">
        <v>586</v>
      </c>
      <c r="AA200" s="138">
        <v>41533</v>
      </c>
      <c r="AB200" s="9" t="s">
        <v>114</v>
      </c>
      <c r="AC200" s="9" t="s">
        <v>124</v>
      </c>
      <c r="AD200" s="15">
        <v>44651</v>
      </c>
      <c r="AE200" s="39" t="s">
        <v>125</v>
      </c>
      <c r="AF200" s="177">
        <v>6</v>
      </c>
      <c r="AG200" s="140">
        <v>0</v>
      </c>
      <c r="AH200" s="9">
        <v>0</v>
      </c>
      <c r="AI200" s="10" t="s">
        <v>126</v>
      </c>
      <c r="AJ200" s="10"/>
      <c r="AK200" s="29"/>
      <c r="AL200" s="12">
        <v>1</v>
      </c>
      <c r="AM200" s="10"/>
      <c r="AN200" s="12">
        <f>FAR[[#This Row],[Opening RUL]]+FAR[[#This Row],[RUL Adjustment]]</f>
        <v>1</v>
      </c>
      <c r="AO200" s="12">
        <f>FAR[[#This Row],[Opening RUL 30 June 2026]]-1</f>
        <v>0</v>
      </c>
      <c r="AP200" s="12" t="s">
        <v>1052</v>
      </c>
      <c r="AQ200" s="139"/>
      <c r="AR200" s="10" t="s">
        <v>127</v>
      </c>
      <c r="AS200" s="13">
        <v>3850</v>
      </c>
      <c r="AT200" s="13"/>
      <c r="AU200" s="13">
        <v>0</v>
      </c>
      <c r="AV200" s="13">
        <v>0</v>
      </c>
      <c r="AW200" s="13">
        <v>0</v>
      </c>
      <c r="AX200" s="13">
        <v>3850</v>
      </c>
      <c r="AY200" s="13">
        <v>213.88888888888869</v>
      </c>
      <c r="AZ200" s="13">
        <v>0</v>
      </c>
      <c r="BA200" s="13"/>
      <c r="BB200" s="13"/>
      <c r="BC200" s="13">
        <v>-3636.1111111111113</v>
      </c>
      <c r="BD200" s="13"/>
      <c r="BE200" s="13" t="s">
        <v>114</v>
      </c>
      <c r="BF200" s="29"/>
      <c r="BG200" s="13"/>
      <c r="BH200" s="13">
        <f>-FAR[[#This Row],[Carrying value (opening balance)]]/FAR[[#This Row],[Opening RUL 30 June 2026]]</f>
        <v>-213.88888888888869</v>
      </c>
      <c r="BI200" s="13">
        <f>FAR[[#This Row],[Depreciation YTD]]/12</f>
        <v>-17.824074074074058</v>
      </c>
      <c r="BJ200" s="13"/>
      <c r="BK200" s="13" t="s">
        <v>116</v>
      </c>
      <c r="BL200" s="13">
        <v>0</v>
      </c>
      <c r="BM200" s="13">
        <f>FAR[[#This Row],[Accumulated depreciation (Opening balance)]]+FAR[[#This Row],[Depreciation YTD]]+FAR[[#This Row],[Derecognitions (acc dep) '[+']]]</f>
        <v>-3850</v>
      </c>
      <c r="BN200" s="13"/>
      <c r="BO200" s="13"/>
      <c r="BP200" s="13"/>
      <c r="BQ200" s="13"/>
      <c r="BR20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00" s="13">
        <f>FAR[[#This Row],[Cost Price (closing balance)]]+FAR[[#This Row],[Accumulated depreciation (Closing balance)]]+FAR[[#This Row],[Accumulated impairments (Closing balance)]]</f>
        <v>0</v>
      </c>
      <c r="BT200" s="13"/>
      <c r="BU200" s="13"/>
      <c r="BV200" s="13"/>
      <c r="BW200" s="10" t="s">
        <v>167</v>
      </c>
      <c r="BX200" s="9" t="s">
        <v>168</v>
      </c>
      <c r="BY200" s="10"/>
      <c r="BZ200" t="s">
        <v>969</v>
      </c>
      <c r="CA200"/>
      <c r="CB200" s="34"/>
      <c r="CC200" s="34"/>
      <c r="CD200" s="34"/>
      <c r="CE200" s="141"/>
    </row>
    <row r="201" spans="1:83">
      <c r="A201" s="35" t="s">
        <v>371</v>
      </c>
      <c r="B201" s="9" t="s">
        <v>875</v>
      </c>
      <c r="C201" s="9" t="s">
        <v>54</v>
      </c>
      <c r="D201" s="10" t="s">
        <v>1</v>
      </c>
      <c r="E201" s="9" t="s">
        <v>115</v>
      </c>
      <c r="F201" s="36" t="s">
        <v>99</v>
      </c>
      <c r="G201" s="9" t="s">
        <v>100</v>
      </c>
      <c r="H201" s="3" t="s">
        <v>128</v>
      </c>
      <c r="I201" s="9" t="s">
        <v>100</v>
      </c>
      <c r="J201" s="36" t="s">
        <v>101</v>
      </c>
      <c r="K201" s="10" t="s">
        <v>559</v>
      </c>
      <c r="L201" s="10" t="s">
        <v>559</v>
      </c>
      <c r="M201" s="9" t="s">
        <v>100</v>
      </c>
      <c r="N201" s="10" t="s">
        <v>509</v>
      </c>
      <c r="O201" s="9" t="s">
        <v>100</v>
      </c>
      <c r="P201" s="10"/>
      <c r="Q201" s="10" t="s">
        <v>509</v>
      </c>
      <c r="R201" s="10" t="s">
        <v>119</v>
      </c>
      <c r="S201" s="10" t="s">
        <v>130</v>
      </c>
      <c r="T201" s="10" t="s">
        <v>120</v>
      </c>
      <c r="U201" s="10" t="s">
        <v>101</v>
      </c>
      <c r="V201" s="10" t="s">
        <v>121</v>
      </c>
      <c r="W201" s="10" t="s">
        <v>122</v>
      </c>
      <c r="X201" s="10" t="s">
        <v>123</v>
      </c>
      <c r="Y201" s="29">
        <v>1</v>
      </c>
      <c r="Z201" s="138" t="s">
        <v>586</v>
      </c>
      <c r="AA201" s="138">
        <v>41533</v>
      </c>
      <c r="AB201" s="9" t="s">
        <v>114</v>
      </c>
      <c r="AC201" s="9" t="s">
        <v>124</v>
      </c>
      <c r="AD201" s="15">
        <v>44651</v>
      </c>
      <c r="AE201" s="39" t="s">
        <v>125</v>
      </c>
      <c r="AF201" s="177">
        <v>6</v>
      </c>
      <c r="AG201" s="140">
        <v>0</v>
      </c>
      <c r="AH201" s="9">
        <v>0</v>
      </c>
      <c r="AI201" s="10" t="s">
        <v>126</v>
      </c>
      <c r="AJ201" s="10"/>
      <c r="AK201" s="29"/>
      <c r="AL201" s="12">
        <v>1</v>
      </c>
      <c r="AM201" s="10"/>
      <c r="AN201" s="12">
        <f>FAR[[#This Row],[Opening RUL]]+FAR[[#This Row],[RUL Adjustment]]</f>
        <v>1</v>
      </c>
      <c r="AO201" s="12">
        <f>FAR[[#This Row],[Opening RUL 30 June 2026]]-1</f>
        <v>0</v>
      </c>
      <c r="AP201" s="12" t="s">
        <v>1051</v>
      </c>
      <c r="AQ201" s="139"/>
      <c r="AR201" s="10" t="s">
        <v>127</v>
      </c>
      <c r="AS201" s="13">
        <v>4250</v>
      </c>
      <c r="AT201" s="13"/>
      <c r="AU201" s="13">
        <v>0</v>
      </c>
      <c r="AV201" s="13">
        <v>0</v>
      </c>
      <c r="AW201" s="13">
        <v>0</v>
      </c>
      <c r="AX201" s="13">
        <v>4250</v>
      </c>
      <c r="AY201" s="13">
        <v>236.11111111111131</v>
      </c>
      <c r="AZ201" s="13">
        <v>0</v>
      </c>
      <c r="BA201" s="13"/>
      <c r="BB201" s="13"/>
      <c r="BC201" s="13">
        <v>-4013.8888888888887</v>
      </c>
      <c r="BD201" s="13"/>
      <c r="BE201" s="13" t="s">
        <v>114</v>
      </c>
      <c r="BF201" s="29"/>
      <c r="BG201" s="13"/>
      <c r="BH201" s="13">
        <f>-FAR[[#This Row],[Carrying value (opening balance)]]/FAR[[#This Row],[Opening RUL 30 June 2026]]</f>
        <v>-236.11111111111131</v>
      </c>
      <c r="BI201" s="13">
        <f>FAR[[#This Row],[Depreciation YTD]]/12</f>
        <v>-19.675925925925942</v>
      </c>
      <c r="BJ201" s="13"/>
      <c r="BK201" s="13" t="s">
        <v>116</v>
      </c>
      <c r="BL201" s="13">
        <v>0</v>
      </c>
      <c r="BM201" s="13">
        <f>FAR[[#This Row],[Accumulated depreciation (Opening balance)]]+FAR[[#This Row],[Depreciation YTD]]+FAR[[#This Row],[Derecognitions (acc dep) '[+']]]</f>
        <v>-4250</v>
      </c>
      <c r="BN201" s="13"/>
      <c r="BO201" s="13"/>
      <c r="BP201" s="13"/>
      <c r="BQ201" s="13"/>
      <c r="BR20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01" s="13">
        <f>FAR[[#This Row],[Cost Price (closing balance)]]+FAR[[#This Row],[Accumulated depreciation (Closing balance)]]+FAR[[#This Row],[Accumulated impairments (Closing balance)]]</f>
        <v>0</v>
      </c>
      <c r="BT201" s="13"/>
      <c r="BU201" s="13"/>
      <c r="BV201" s="13"/>
      <c r="BW201" s="10" t="s">
        <v>167</v>
      </c>
      <c r="BX201" s="9" t="s">
        <v>168</v>
      </c>
      <c r="BY201" s="10"/>
      <c r="BZ201" t="s">
        <v>1008</v>
      </c>
      <c r="CA201"/>
      <c r="CB201" s="34"/>
      <c r="CC201" s="34"/>
      <c r="CD201" s="34"/>
      <c r="CE201" s="141"/>
    </row>
    <row r="202" spans="1:83">
      <c r="A202" s="35" t="s">
        <v>372</v>
      </c>
      <c r="B202" s="9" t="s">
        <v>873</v>
      </c>
      <c r="C202" s="9" t="s">
        <v>54</v>
      </c>
      <c r="D202" s="10" t="s">
        <v>1</v>
      </c>
      <c r="E202" s="9" t="s">
        <v>115</v>
      </c>
      <c r="F202" s="36" t="s">
        <v>99</v>
      </c>
      <c r="G202" s="9" t="s">
        <v>100</v>
      </c>
      <c r="H202" s="3" t="s">
        <v>128</v>
      </c>
      <c r="I202" s="9" t="s">
        <v>100</v>
      </c>
      <c r="J202" s="36" t="s">
        <v>101</v>
      </c>
      <c r="K202" s="10" t="s">
        <v>559</v>
      </c>
      <c r="L202" s="10" t="s">
        <v>559</v>
      </c>
      <c r="M202" s="9" t="s">
        <v>100</v>
      </c>
      <c r="N202" s="10" t="s">
        <v>510</v>
      </c>
      <c r="O202" s="9" t="s">
        <v>100</v>
      </c>
      <c r="P202" s="10"/>
      <c r="Q202" s="10" t="s">
        <v>510</v>
      </c>
      <c r="R202" s="10" t="s">
        <v>119</v>
      </c>
      <c r="S202" s="10" t="s">
        <v>130</v>
      </c>
      <c r="T202" s="10" t="s">
        <v>120</v>
      </c>
      <c r="U202" s="10" t="s">
        <v>101</v>
      </c>
      <c r="V202" s="10" t="s">
        <v>121</v>
      </c>
      <c r="W202" s="10" t="s">
        <v>122</v>
      </c>
      <c r="X202" s="10" t="s">
        <v>123</v>
      </c>
      <c r="Y202" s="29">
        <v>1</v>
      </c>
      <c r="Z202" s="138" t="s">
        <v>588</v>
      </c>
      <c r="AA202" s="138">
        <v>41334</v>
      </c>
      <c r="AB202" s="9" t="s">
        <v>114</v>
      </c>
      <c r="AC202" s="9" t="s">
        <v>124</v>
      </c>
      <c r="AD202" s="15">
        <v>44651</v>
      </c>
      <c r="AE202" s="39" t="s">
        <v>125</v>
      </c>
      <c r="AF202" s="177">
        <v>6</v>
      </c>
      <c r="AG202" s="140">
        <v>0</v>
      </c>
      <c r="AH202" s="9">
        <v>0</v>
      </c>
      <c r="AI202" s="10" t="s">
        <v>126</v>
      </c>
      <c r="AJ202" s="10"/>
      <c r="AK202" s="29"/>
      <c r="AL202" s="12">
        <v>1</v>
      </c>
      <c r="AM202" s="10"/>
      <c r="AN202" s="12">
        <f>FAR[[#This Row],[Opening RUL]]+FAR[[#This Row],[RUL Adjustment]]</f>
        <v>1</v>
      </c>
      <c r="AO202" s="12">
        <f>FAR[[#This Row],[Opening RUL 30 June 2026]]-1</f>
        <v>0</v>
      </c>
      <c r="AP202" s="12" t="s">
        <v>1050</v>
      </c>
      <c r="AQ202" s="139"/>
      <c r="AR202" s="10" t="s">
        <v>127</v>
      </c>
      <c r="AS202" s="13">
        <v>2593.5</v>
      </c>
      <c r="AT202" s="13"/>
      <c r="AU202" s="13">
        <v>0</v>
      </c>
      <c r="AV202" s="13">
        <v>0</v>
      </c>
      <c r="AW202" s="13">
        <v>0</v>
      </c>
      <c r="AX202" s="13">
        <v>2593.5</v>
      </c>
      <c r="AY202" s="13">
        <v>144.08333333333303</v>
      </c>
      <c r="AZ202" s="13">
        <v>0</v>
      </c>
      <c r="BA202" s="13"/>
      <c r="BB202" s="13"/>
      <c r="BC202" s="13">
        <v>-2449.416666666667</v>
      </c>
      <c r="BD202" s="13"/>
      <c r="BE202" s="13" t="s">
        <v>114</v>
      </c>
      <c r="BF202" s="29"/>
      <c r="BG202" s="13"/>
      <c r="BH202" s="13">
        <f>-FAR[[#This Row],[Carrying value (opening balance)]]/FAR[[#This Row],[Opening RUL 30 June 2026]]</f>
        <v>-144.08333333333303</v>
      </c>
      <c r="BI202" s="13">
        <f>FAR[[#This Row],[Depreciation YTD]]/12</f>
        <v>-12.00694444444442</v>
      </c>
      <c r="BJ202" s="13"/>
      <c r="BK202" s="13" t="s">
        <v>116</v>
      </c>
      <c r="BL202" s="13">
        <v>0</v>
      </c>
      <c r="BM202" s="13">
        <f>FAR[[#This Row],[Accumulated depreciation (Opening balance)]]+FAR[[#This Row],[Depreciation YTD]]+FAR[[#This Row],[Derecognitions (acc dep) '[+']]]</f>
        <v>-2593.5</v>
      </c>
      <c r="BN202" s="13"/>
      <c r="BO202" s="13"/>
      <c r="BP202" s="13"/>
      <c r="BQ202" s="13"/>
      <c r="BR20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02" s="13">
        <f>FAR[[#This Row],[Cost Price (closing balance)]]+FAR[[#This Row],[Accumulated depreciation (Closing balance)]]+FAR[[#This Row],[Accumulated impairments (Closing balance)]]</f>
        <v>0</v>
      </c>
      <c r="BT202" s="13"/>
      <c r="BU202" s="13"/>
      <c r="BV202" s="13"/>
      <c r="BW202" s="10" t="s">
        <v>167</v>
      </c>
      <c r="BX202" s="9" t="s">
        <v>168</v>
      </c>
      <c r="BY202" s="10"/>
      <c r="BZ202" t="s">
        <v>1009</v>
      </c>
      <c r="CA202"/>
      <c r="CB202" s="34"/>
      <c r="CC202" s="34"/>
      <c r="CD202" s="34"/>
      <c r="CE202" s="141"/>
    </row>
    <row r="203" spans="1:83">
      <c r="A203" s="35" t="s">
        <v>373</v>
      </c>
      <c r="B203" s="9" t="s">
        <v>868</v>
      </c>
      <c r="C203" s="9" t="s">
        <v>54</v>
      </c>
      <c r="D203" s="10" t="s">
        <v>1</v>
      </c>
      <c r="E203" s="9" t="s">
        <v>115</v>
      </c>
      <c r="F203" s="36" t="s">
        <v>99</v>
      </c>
      <c r="G203" s="9" t="s">
        <v>100</v>
      </c>
      <c r="H203" s="3" t="s">
        <v>128</v>
      </c>
      <c r="I203" s="9" t="s">
        <v>100</v>
      </c>
      <c r="J203" s="36" t="s">
        <v>101</v>
      </c>
      <c r="K203" s="10" t="s">
        <v>559</v>
      </c>
      <c r="L203" s="10" t="s">
        <v>559</v>
      </c>
      <c r="M203" s="9" t="s">
        <v>100</v>
      </c>
      <c r="N203" s="10" t="s">
        <v>518</v>
      </c>
      <c r="O203" s="9" t="s">
        <v>100</v>
      </c>
      <c r="P203" s="10"/>
      <c r="Q203" s="10" t="s">
        <v>518</v>
      </c>
      <c r="R203" s="10" t="s">
        <v>119</v>
      </c>
      <c r="S203" s="10" t="s">
        <v>130</v>
      </c>
      <c r="T203" s="10" t="s">
        <v>120</v>
      </c>
      <c r="U203" s="10" t="s">
        <v>101</v>
      </c>
      <c r="V203" s="10" t="s">
        <v>121</v>
      </c>
      <c r="W203" s="10" t="s">
        <v>122</v>
      </c>
      <c r="X203" s="10" t="s">
        <v>123</v>
      </c>
      <c r="Y203" s="29">
        <v>1</v>
      </c>
      <c r="Z203" s="138" t="s">
        <v>589</v>
      </c>
      <c r="AA203" s="138">
        <v>41355</v>
      </c>
      <c r="AB203" s="9" t="s">
        <v>114</v>
      </c>
      <c r="AC203" s="9" t="s">
        <v>124</v>
      </c>
      <c r="AD203" s="15">
        <v>44651</v>
      </c>
      <c r="AE203" s="39" t="s">
        <v>125</v>
      </c>
      <c r="AF203" s="177">
        <v>6</v>
      </c>
      <c r="AG203" s="140">
        <v>0</v>
      </c>
      <c r="AH203" s="9">
        <v>0</v>
      </c>
      <c r="AI203" s="10" t="s">
        <v>126</v>
      </c>
      <c r="AJ203" s="10"/>
      <c r="AK203" s="29"/>
      <c r="AL203" s="12">
        <v>1</v>
      </c>
      <c r="AM203" s="10"/>
      <c r="AN203" s="12">
        <f>FAR[[#This Row],[Opening RUL]]+FAR[[#This Row],[RUL Adjustment]]</f>
        <v>1</v>
      </c>
      <c r="AO203" s="12">
        <f>FAR[[#This Row],[Opening RUL 30 June 2026]]-1</f>
        <v>0</v>
      </c>
      <c r="AP203" s="12" t="s">
        <v>1050</v>
      </c>
      <c r="AQ203" s="139"/>
      <c r="AR203" s="10" t="s">
        <v>127</v>
      </c>
      <c r="AS203" s="13">
        <v>3112.2</v>
      </c>
      <c r="AT203" s="13"/>
      <c r="AU203" s="13">
        <v>0</v>
      </c>
      <c r="AV203" s="13">
        <v>0</v>
      </c>
      <c r="AW203" s="13">
        <v>0</v>
      </c>
      <c r="AX203" s="13">
        <v>3112.2</v>
      </c>
      <c r="AY203" s="13">
        <v>172.89999999999964</v>
      </c>
      <c r="AZ203" s="13">
        <v>0</v>
      </c>
      <c r="BA203" s="13"/>
      <c r="BB203" s="13"/>
      <c r="BC203" s="13">
        <v>-2939.3</v>
      </c>
      <c r="BD203" s="13"/>
      <c r="BE203" s="13" t="s">
        <v>114</v>
      </c>
      <c r="BF203" s="29"/>
      <c r="BG203" s="13"/>
      <c r="BH203" s="13">
        <f>-FAR[[#This Row],[Carrying value (opening balance)]]/FAR[[#This Row],[Opening RUL 30 June 2026]]</f>
        <v>-172.89999999999964</v>
      </c>
      <c r="BI203" s="13">
        <f>FAR[[#This Row],[Depreciation YTD]]/12</f>
        <v>-14.408333333333303</v>
      </c>
      <c r="BJ203" s="13"/>
      <c r="BK203" s="13" t="s">
        <v>116</v>
      </c>
      <c r="BL203" s="13">
        <v>0</v>
      </c>
      <c r="BM203" s="13">
        <f>FAR[[#This Row],[Accumulated depreciation (Opening balance)]]+FAR[[#This Row],[Depreciation YTD]]+FAR[[#This Row],[Derecognitions (acc dep) '[+']]]</f>
        <v>-3112.2</v>
      </c>
      <c r="BN203" s="13"/>
      <c r="BO203" s="13"/>
      <c r="BP203" s="13"/>
      <c r="BQ203" s="13"/>
      <c r="BR20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03" s="13">
        <f>FAR[[#This Row],[Cost Price (closing balance)]]+FAR[[#This Row],[Accumulated depreciation (Closing balance)]]+FAR[[#This Row],[Accumulated impairments (Closing balance)]]</f>
        <v>0</v>
      </c>
      <c r="BT203" s="13"/>
      <c r="BU203" s="13"/>
      <c r="BV203" s="13"/>
      <c r="BW203" s="10" t="s">
        <v>167</v>
      </c>
      <c r="BX203" s="9" t="s">
        <v>168</v>
      </c>
      <c r="BY203" s="10"/>
      <c r="BZ203" t="s">
        <v>1006</v>
      </c>
      <c r="CA203"/>
      <c r="CB203" s="34"/>
      <c r="CC203" s="34"/>
      <c r="CD203" s="34"/>
      <c r="CE203" s="141"/>
    </row>
    <row r="204" spans="1:83">
      <c r="A204" s="35" t="s">
        <v>374</v>
      </c>
      <c r="B204" s="9" t="s">
        <v>877</v>
      </c>
      <c r="C204" s="9" t="s">
        <v>54</v>
      </c>
      <c r="D204" s="10" t="s">
        <v>1</v>
      </c>
      <c r="E204" s="9" t="s">
        <v>115</v>
      </c>
      <c r="F204" s="36" t="s">
        <v>99</v>
      </c>
      <c r="G204" s="9" t="s">
        <v>100</v>
      </c>
      <c r="H204" s="3" t="s">
        <v>128</v>
      </c>
      <c r="I204" s="9" t="s">
        <v>100</v>
      </c>
      <c r="J204" s="36" t="s">
        <v>101</v>
      </c>
      <c r="K204" s="10" t="s">
        <v>559</v>
      </c>
      <c r="L204" s="10" t="s">
        <v>559</v>
      </c>
      <c r="M204" s="9" t="s">
        <v>100</v>
      </c>
      <c r="N204" s="10" t="s">
        <v>519</v>
      </c>
      <c r="O204" s="9" t="s">
        <v>100</v>
      </c>
      <c r="P204" s="10"/>
      <c r="Q204" s="10" t="s">
        <v>519</v>
      </c>
      <c r="R204" s="10" t="s">
        <v>119</v>
      </c>
      <c r="S204" s="10" t="s">
        <v>130</v>
      </c>
      <c r="T204" s="10" t="s">
        <v>120</v>
      </c>
      <c r="U204" s="10" t="s">
        <v>101</v>
      </c>
      <c r="V204" s="10" t="s">
        <v>121</v>
      </c>
      <c r="W204" s="10" t="s">
        <v>122</v>
      </c>
      <c r="X204" s="10" t="s">
        <v>123</v>
      </c>
      <c r="Y204" s="29">
        <v>1</v>
      </c>
      <c r="Z204" s="138" t="s">
        <v>590</v>
      </c>
      <c r="AA204" s="138">
        <v>41326</v>
      </c>
      <c r="AB204" s="9" t="s">
        <v>114</v>
      </c>
      <c r="AC204" s="9" t="s">
        <v>124</v>
      </c>
      <c r="AD204" s="15">
        <v>44651</v>
      </c>
      <c r="AE204" s="39" t="s">
        <v>125</v>
      </c>
      <c r="AF204" s="177">
        <v>6</v>
      </c>
      <c r="AG204" s="140">
        <v>0</v>
      </c>
      <c r="AH204" s="9">
        <v>0</v>
      </c>
      <c r="AI204" s="10" t="s">
        <v>126</v>
      </c>
      <c r="AJ204" s="10"/>
      <c r="AK204" s="29"/>
      <c r="AL204" s="12">
        <v>1</v>
      </c>
      <c r="AM204" s="10"/>
      <c r="AN204" s="12">
        <f>FAR[[#This Row],[Opening RUL]]+FAR[[#This Row],[RUL Adjustment]]</f>
        <v>1</v>
      </c>
      <c r="AO204" s="12">
        <f>FAR[[#This Row],[Opening RUL 30 June 2026]]-1</f>
        <v>0</v>
      </c>
      <c r="AP204" s="12" t="s">
        <v>1052</v>
      </c>
      <c r="AQ204" s="139"/>
      <c r="AR204" s="10" t="s">
        <v>127</v>
      </c>
      <c r="AS204" s="13">
        <v>3122.2</v>
      </c>
      <c r="AT204" s="13"/>
      <c r="AU204" s="13">
        <v>0</v>
      </c>
      <c r="AV204" s="13">
        <v>0</v>
      </c>
      <c r="AW204" s="13">
        <v>0</v>
      </c>
      <c r="AX204" s="13">
        <v>3122.2</v>
      </c>
      <c r="AY204" s="13">
        <v>173.45555555555529</v>
      </c>
      <c r="AZ204" s="13">
        <v>0</v>
      </c>
      <c r="BA204" s="13"/>
      <c r="BB204" s="13"/>
      <c r="BC204" s="13">
        <v>-2948.7444444444445</v>
      </c>
      <c r="BD204" s="13"/>
      <c r="BE204" s="13" t="s">
        <v>114</v>
      </c>
      <c r="BF204" s="29"/>
      <c r="BG204" s="13"/>
      <c r="BH204" s="13">
        <f>-FAR[[#This Row],[Carrying value (opening balance)]]/FAR[[#This Row],[Opening RUL 30 June 2026]]</f>
        <v>-173.45555555555529</v>
      </c>
      <c r="BI204" s="13">
        <f>FAR[[#This Row],[Depreciation YTD]]/12</f>
        <v>-14.454629629629608</v>
      </c>
      <c r="BJ204" s="13"/>
      <c r="BK204" s="13" t="s">
        <v>116</v>
      </c>
      <c r="BL204" s="13">
        <v>0</v>
      </c>
      <c r="BM204" s="13">
        <f>FAR[[#This Row],[Accumulated depreciation (Opening balance)]]+FAR[[#This Row],[Depreciation YTD]]+FAR[[#This Row],[Derecognitions (acc dep) '[+']]]</f>
        <v>-3122.2</v>
      </c>
      <c r="BN204" s="13"/>
      <c r="BO204" s="13"/>
      <c r="BP204" s="13"/>
      <c r="BQ204" s="13"/>
      <c r="BR20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04" s="13">
        <f>FAR[[#This Row],[Cost Price (closing balance)]]+FAR[[#This Row],[Accumulated depreciation (Closing balance)]]+FAR[[#This Row],[Accumulated impairments (Closing balance)]]</f>
        <v>0</v>
      </c>
      <c r="BT204" s="13"/>
      <c r="BU204" s="13"/>
      <c r="BV204" s="13"/>
      <c r="BW204" s="10" t="s">
        <v>167</v>
      </c>
      <c r="BX204" s="9" t="s">
        <v>168</v>
      </c>
      <c r="BY204" s="10"/>
      <c r="BZ204" t="s">
        <v>1010</v>
      </c>
      <c r="CA204"/>
      <c r="CB204" s="34"/>
      <c r="CC204" s="34"/>
      <c r="CD204" s="34"/>
      <c r="CE204" s="141"/>
    </row>
    <row r="205" spans="1:83">
      <c r="A205" s="35" t="s">
        <v>375</v>
      </c>
      <c r="B205" s="9" t="s">
        <v>868</v>
      </c>
      <c r="C205" s="9" t="s">
        <v>54</v>
      </c>
      <c r="D205" s="10" t="s">
        <v>1</v>
      </c>
      <c r="E205" s="9" t="s">
        <v>115</v>
      </c>
      <c r="F205" s="36" t="s">
        <v>99</v>
      </c>
      <c r="G205" s="9" t="s">
        <v>100</v>
      </c>
      <c r="H205" s="3" t="s">
        <v>128</v>
      </c>
      <c r="I205" s="9" t="s">
        <v>100</v>
      </c>
      <c r="J205" s="36" t="s">
        <v>101</v>
      </c>
      <c r="K205" s="10" t="s">
        <v>559</v>
      </c>
      <c r="L205" s="10" t="s">
        <v>559</v>
      </c>
      <c r="M205" s="9" t="s">
        <v>100</v>
      </c>
      <c r="N205" s="10" t="s">
        <v>520</v>
      </c>
      <c r="O205" s="9" t="s">
        <v>100</v>
      </c>
      <c r="P205" s="10"/>
      <c r="Q205" s="10" t="s">
        <v>520</v>
      </c>
      <c r="R205" s="10" t="s">
        <v>119</v>
      </c>
      <c r="S205" s="10" t="s">
        <v>130</v>
      </c>
      <c r="T205" s="10" t="s">
        <v>120</v>
      </c>
      <c r="U205" s="10" t="s">
        <v>101</v>
      </c>
      <c r="V205" s="10" t="s">
        <v>121</v>
      </c>
      <c r="W205" s="10" t="s">
        <v>122</v>
      </c>
      <c r="X205" s="10" t="s">
        <v>123</v>
      </c>
      <c r="Y205" s="29">
        <v>1</v>
      </c>
      <c r="Z205" s="138" t="s">
        <v>590</v>
      </c>
      <c r="AA205" s="138">
        <v>41326</v>
      </c>
      <c r="AB205" s="9" t="s">
        <v>114</v>
      </c>
      <c r="AC205" s="9" t="s">
        <v>124</v>
      </c>
      <c r="AD205" s="15">
        <v>44651</v>
      </c>
      <c r="AE205" s="39" t="s">
        <v>125</v>
      </c>
      <c r="AF205" s="177">
        <v>6</v>
      </c>
      <c r="AG205" s="140">
        <v>0</v>
      </c>
      <c r="AH205" s="9">
        <v>0</v>
      </c>
      <c r="AI205" s="10" t="s">
        <v>126</v>
      </c>
      <c r="AJ205" s="10"/>
      <c r="AK205" s="29"/>
      <c r="AL205" s="12">
        <v>1</v>
      </c>
      <c r="AM205" s="10"/>
      <c r="AN205" s="12">
        <f>FAR[[#This Row],[Opening RUL]]+FAR[[#This Row],[RUL Adjustment]]</f>
        <v>1</v>
      </c>
      <c r="AO205" s="12">
        <f>FAR[[#This Row],[Opening RUL 30 June 2026]]-1</f>
        <v>0</v>
      </c>
      <c r="AP205" s="12" t="s">
        <v>1050</v>
      </c>
      <c r="AQ205" s="139"/>
      <c r="AR205" s="10" t="s">
        <v>127</v>
      </c>
      <c r="AS205" s="13">
        <v>5187</v>
      </c>
      <c r="AT205" s="13"/>
      <c r="AU205" s="13">
        <v>0</v>
      </c>
      <c r="AV205" s="13">
        <v>0</v>
      </c>
      <c r="AW205" s="13">
        <v>0</v>
      </c>
      <c r="AX205" s="13">
        <v>5187</v>
      </c>
      <c r="AY205" s="13">
        <v>288.16666666666606</v>
      </c>
      <c r="AZ205" s="13">
        <v>0</v>
      </c>
      <c r="BA205" s="13"/>
      <c r="BB205" s="13"/>
      <c r="BC205" s="13">
        <v>-4898.8333333333339</v>
      </c>
      <c r="BD205" s="13"/>
      <c r="BE205" s="13" t="s">
        <v>114</v>
      </c>
      <c r="BF205" s="29"/>
      <c r="BG205" s="13"/>
      <c r="BH205" s="13">
        <f>-FAR[[#This Row],[Carrying value (opening balance)]]/FAR[[#This Row],[Opening RUL 30 June 2026]]</f>
        <v>-288.16666666666606</v>
      </c>
      <c r="BI205" s="13">
        <f>FAR[[#This Row],[Depreciation YTD]]/12</f>
        <v>-24.01388888888884</v>
      </c>
      <c r="BJ205" s="13"/>
      <c r="BK205" s="13" t="s">
        <v>116</v>
      </c>
      <c r="BL205" s="13">
        <v>0</v>
      </c>
      <c r="BM205" s="13">
        <f>FAR[[#This Row],[Accumulated depreciation (Opening balance)]]+FAR[[#This Row],[Depreciation YTD]]+FAR[[#This Row],[Derecognitions (acc dep) '[+']]]</f>
        <v>-5187</v>
      </c>
      <c r="BN205" s="13"/>
      <c r="BO205" s="13"/>
      <c r="BP205" s="13"/>
      <c r="BQ205" s="13"/>
      <c r="BR20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05" s="13">
        <f>FAR[[#This Row],[Cost Price (closing balance)]]+FAR[[#This Row],[Accumulated depreciation (Closing balance)]]+FAR[[#This Row],[Accumulated impairments (Closing balance)]]</f>
        <v>0</v>
      </c>
      <c r="BT205" s="13"/>
      <c r="BU205" s="13"/>
      <c r="BV205" s="13"/>
      <c r="BW205" s="10" t="s">
        <v>167</v>
      </c>
      <c r="BX205" s="9" t="s">
        <v>168</v>
      </c>
      <c r="BY205" s="10"/>
      <c r="BZ205" t="s">
        <v>1011</v>
      </c>
      <c r="CA205"/>
      <c r="CB205" s="34"/>
      <c r="CC205" s="34"/>
      <c r="CD205" s="34"/>
      <c r="CE205" s="141"/>
    </row>
    <row r="206" spans="1:83">
      <c r="A206" s="35" t="s">
        <v>376</v>
      </c>
      <c r="B206" s="9" t="s">
        <v>884</v>
      </c>
      <c r="C206" s="9" t="s">
        <v>54</v>
      </c>
      <c r="D206" s="10" t="s">
        <v>1</v>
      </c>
      <c r="E206" s="9" t="s">
        <v>115</v>
      </c>
      <c r="F206" s="36" t="s">
        <v>99</v>
      </c>
      <c r="G206" s="9" t="s">
        <v>100</v>
      </c>
      <c r="H206" s="3" t="s">
        <v>128</v>
      </c>
      <c r="I206" s="9" t="s">
        <v>100</v>
      </c>
      <c r="J206" s="36" t="s">
        <v>101</v>
      </c>
      <c r="K206" s="10" t="s">
        <v>559</v>
      </c>
      <c r="L206" s="10" t="s">
        <v>559</v>
      </c>
      <c r="M206" s="9" t="s">
        <v>100</v>
      </c>
      <c r="N206" s="10" t="s">
        <v>521</v>
      </c>
      <c r="O206" s="9" t="s">
        <v>100</v>
      </c>
      <c r="P206" s="10"/>
      <c r="Q206" s="10" t="s">
        <v>521</v>
      </c>
      <c r="R206" s="10" t="s">
        <v>119</v>
      </c>
      <c r="S206" s="10" t="s">
        <v>130</v>
      </c>
      <c r="T206" s="10" t="s">
        <v>120</v>
      </c>
      <c r="U206" s="10" t="s">
        <v>101</v>
      </c>
      <c r="V206" s="10" t="s">
        <v>121</v>
      </c>
      <c r="W206" s="10" t="s">
        <v>122</v>
      </c>
      <c r="X206" s="10" t="s">
        <v>123</v>
      </c>
      <c r="Y206" s="29">
        <v>1</v>
      </c>
      <c r="Z206" s="138" t="s">
        <v>586</v>
      </c>
      <c r="AA206" s="138">
        <v>41533</v>
      </c>
      <c r="AB206" s="9" t="s">
        <v>114</v>
      </c>
      <c r="AC206" s="9" t="s">
        <v>124</v>
      </c>
      <c r="AD206" s="15">
        <v>44651</v>
      </c>
      <c r="AE206" s="39" t="s">
        <v>125</v>
      </c>
      <c r="AF206" s="177">
        <v>6</v>
      </c>
      <c r="AG206" s="140">
        <v>0</v>
      </c>
      <c r="AH206" s="9">
        <v>0</v>
      </c>
      <c r="AI206" s="10" t="s">
        <v>126</v>
      </c>
      <c r="AJ206" s="10"/>
      <c r="AK206" s="29"/>
      <c r="AL206" s="12">
        <v>1</v>
      </c>
      <c r="AM206" s="10"/>
      <c r="AN206" s="12">
        <f>FAR[[#This Row],[Opening RUL]]+FAR[[#This Row],[RUL Adjustment]]</f>
        <v>1</v>
      </c>
      <c r="AO206" s="12">
        <f>FAR[[#This Row],[Opening RUL 30 June 2026]]-1</f>
        <v>0</v>
      </c>
      <c r="AP206" s="12" t="s">
        <v>1050</v>
      </c>
      <c r="AQ206" s="139"/>
      <c r="AR206" s="10" t="s">
        <v>127</v>
      </c>
      <c r="AS206" s="13">
        <v>1600</v>
      </c>
      <c r="AT206" s="13"/>
      <c r="AU206" s="13">
        <v>0</v>
      </c>
      <c r="AV206" s="13">
        <v>0</v>
      </c>
      <c r="AW206" s="13">
        <v>0</v>
      </c>
      <c r="AX206" s="13">
        <v>1600</v>
      </c>
      <c r="AY206" s="13">
        <v>88.888888888888687</v>
      </c>
      <c r="AZ206" s="13">
        <v>0</v>
      </c>
      <c r="BA206" s="13"/>
      <c r="BB206" s="13"/>
      <c r="BC206" s="13">
        <v>-1511.1111111111113</v>
      </c>
      <c r="BD206" s="13"/>
      <c r="BE206" s="13" t="s">
        <v>114</v>
      </c>
      <c r="BF206" s="29"/>
      <c r="BG206" s="13"/>
      <c r="BH206" s="13">
        <f>-FAR[[#This Row],[Carrying value (opening balance)]]/FAR[[#This Row],[Opening RUL 30 June 2026]]</f>
        <v>-88.888888888888687</v>
      </c>
      <c r="BI206" s="13">
        <f>FAR[[#This Row],[Depreciation YTD]]/12</f>
        <v>-7.4074074074073906</v>
      </c>
      <c r="BJ206" s="13"/>
      <c r="BK206" s="13" t="s">
        <v>116</v>
      </c>
      <c r="BL206" s="13">
        <v>0</v>
      </c>
      <c r="BM206" s="13">
        <f>FAR[[#This Row],[Accumulated depreciation (Opening balance)]]+FAR[[#This Row],[Depreciation YTD]]+FAR[[#This Row],[Derecognitions (acc dep) '[+']]]</f>
        <v>-1600</v>
      </c>
      <c r="BN206" s="13"/>
      <c r="BO206" s="13"/>
      <c r="BP206" s="13"/>
      <c r="BQ206" s="13"/>
      <c r="BR20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06" s="13">
        <f>FAR[[#This Row],[Cost Price (closing balance)]]+FAR[[#This Row],[Accumulated depreciation (Closing balance)]]+FAR[[#This Row],[Accumulated impairments (Closing balance)]]</f>
        <v>0</v>
      </c>
      <c r="BT206" s="13"/>
      <c r="BU206" s="13"/>
      <c r="BV206" s="13"/>
      <c r="BW206" s="10" t="s">
        <v>167</v>
      </c>
      <c r="BX206" s="9" t="s">
        <v>168</v>
      </c>
      <c r="BY206" s="10"/>
      <c r="BZ206" t="s">
        <v>973</v>
      </c>
      <c r="CA206"/>
      <c r="CB206" s="34"/>
      <c r="CC206" s="34"/>
      <c r="CD206" s="34"/>
      <c r="CE206" s="141"/>
    </row>
    <row r="207" spans="1:83">
      <c r="A207" s="35" t="s">
        <v>377</v>
      </c>
      <c r="B207" s="9" t="s">
        <v>877</v>
      </c>
      <c r="C207" s="9" t="s">
        <v>54</v>
      </c>
      <c r="D207" s="10" t="s">
        <v>1</v>
      </c>
      <c r="E207" s="9" t="s">
        <v>115</v>
      </c>
      <c r="F207" s="36" t="s">
        <v>99</v>
      </c>
      <c r="G207" s="9" t="s">
        <v>100</v>
      </c>
      <c r="H207" s="3" t="s">
        <v>128</v>
      </c>
      <c r="I207" s="9" t="s">
        <v>100</v>
      </c>
      <c r="J207" s="36" t="s">
        <v>101</v>
      </c>
      <c r="K207" s="10" t="s">
        <v>559</v>
      </c>
      <c r="L207" s="10" t="s">
        <v>559</v>
      </c>
      <c r="M207" s="9" t="s">
        <v>100</v>
      </c>
      <c r="N207" s="10" t="s">
        <v>522</v>
      </c>
      <c r="O207" s="9" t="s">
        <v>100</v>
      </c>
      <c r="P207" s="10"/>
      <c r="Q207" s="10" t="s">
        <v>522</v>
      </c>
      <c r="R207" s="10" t="s">
        <v>119</v>
      </c>
      <c r="S207" s="10" t="s">
        <v>130</v>
      </c>
      <c r="T207" s="10" t="s">
        <v>120</v>
      </c>
      <c r="U207" s="10" t="s">
        <v>101</v>
      </c>
      <c r="V207" s="10" t="s">
        <v>121</v>
      </c>
      <c r="W207" s="10" t="s">
        <v>122</v>
      </c>
      <c r="X207" s="10" t="s">
        <v>123</v>
      </c>
      <c r="Y207" s="29">
        <v>1</v>
      </c>
      <c r="Z207" s="138" t="s">
        <v>591</v>
      </c>
      <c r="AA207" s="138">
        <v>38174</v>
      </c>
      <c r="AB207" s="9" t="s">
        <v>114</v>
      </c>
      <c r="AC207" s="9" t="s">
        <v>124</v>
      </c>
      <c r="AD207" s="15">
        <v>44651</v>
      </c>
      <c r="AE207" s="39" t="s">
        <v>125</v>
      </c>
      <c r="AF207" s="177">
        <v>6</v>
      </c>
      <c r="AG207" s="140">
        <v>0</v>
      </c>
      <c r="AH207" s="9">
        <v>0</v>
      </c>
      <c r="AI207" s="10" t="s">
        <v>126</v>
      </c>
      <c r="AJ207" s="10"/>
      <c r="AK207" s="29"/>
      <c r="AL207" s="12">
        <v>1</v>
      </c>
      <c r="AM207" s="10"/>
      <c r="AN207" s="12">
        <f>FAR[[#This Row],[Opening RUL]]+FAR[[#This Row],[RUL Adjustment]]</f>
        <v>1</v>
      </c>
      <c r="AO207" s="12">
        <f>FAR[[#This Row],[Opening RUL 30 June 2026]]-1</f>
        <v>0</v>
      </c>
      <c r="AP207" s="12" t="s">
        <v>1052</v>
      </c>
      <c r="AQ207" s="139"/>
      <c r="AR207" s="10" t="s">
        <v>127</v>
      </c>
      <c r="AS207" s="13">
        <v>1516.2</v>
      </c>
      <c r="AT207" s="13"/>
      <c r="AU207" s="13">
        <v>0</v>
      </c>
      <c r="AV207" s="13">
        <v>0</v>
      </c>
      <c r="AW207" s="13">
        <v>0</v>
      </c>
      <c r="AX207" s="13">
        <v>1516.2</v>
      </c>
      <c r="AY207" s="13">
        <v>84.233333333333348</v>
      </c>
      <c r="AZ207" s="13">
        <v>0</v>
      </c>
      <c r="BA207" s="13"/>
      <c r="BB207" s="13"/>
      <c r="BC207" s="13">
        <v>-1431.9666666666667</v>
      </c>
      <c r="BD207" s="13"/>
      <c r="BE207" s="13" t="s">
        <v>114</v>
      </c>
      <c r="BF207" s="29"/>
      <c r="BG207" s="13"/>
      <c r="BH207" s="13">
        <f>-FAR[[#This Row],[Carrying value (opening balance)]]/FAR[[#This Row],[Opening RUL 30 June 2026]]</f>
        <v>-84.233333333333348</v>
      </c>
      <c r="BI207" s="13">
        <f>FAR[[#This Row],[Depreciation YTD]]/12</f>
        <v>-7.0194444444444457</v>
      </c>
      <c r="BJ207" s="13"/>
      <c r="BK207" s="13" t="s">
        <v>116</v>
      </c>
      <c r="BL207" s="13">
        <v>0</v>
      </c>
      <c r="BM207" s="13">
        <f>FAR[[#This Row],[Accumulated depreciation (Opening balance)]]+FAR[[#This Row],[Depreciation YTD]]+FAR[[#This Row],[Derecognitions (acc dep) '[+']]]</f>
        <v>-1516.2</v>
      </c>
      <c r="BN207" s="13"/>
      <c r="BO207" s="13"/>
      <c r="BP207" s="13"/>
      <c r="BQ207" s="13"/>
      <c r="BR20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07" s="13">
        <f>FAR[[#This Row],[Cost Price (closing balance)]]+FAR[[#This Row],[Accumulated depreciation (Closing balance)]]+FAR[[#This Row],[Accumulated impairments (Closing balance)]]</f>
        <v>0</v>
      </c>
      <c r="BT207" s="13"/>
      <c r="BU207" s="13"/>
      <c r="BV207" s="13"/>
      <c r="BW207" s="10" t="s">
        <v>167</v>
      </c>
      <c r="BX207" s="9" t="s">
        <v>168</v>
      </c>
      <c r="BY207" s="10"/>
      <c r="BZ207" t="s">
        <v>938</v>
      </c>
      <c r="CA207"/>
      <c r="CB207" s="34"/>
      <c r="CC207" s="34"/>
      <c r="CD207" s="34"/>
      <c r="CE207" s="141"/>
    </row>
    <row r="208" spans="1:83">
      <c r="A208" s="35" t="s">
        <v>378</v>
      </c>
      <c r="B208" s="9" t="s">
        <v>860</v>
      </c>
      <c r="C208" s="9" t="s">
        <v>54</v>
      </c>
      <c r="D208" s="10" t="s">
        <v>1</v>
      </c>
      <c r="E208" s="9" t="s">
        <v>115</v>
      </c>
      <c r="F208" s="36" t="s">
        <v>99</v>
      </c>
      <c r="G208" s="9" t="s">
        <v>100</v>
      </c>
      <c r="H208" s="3" t="s">
        <v>128</v>
      </c>
      <c r="I208" s="9" t="s">
        <v>100</v>
      </c>
      <c r="J208" s="36" t="s">
        <v>101</v>
      </c>
      <c r="K208" s="10" t="s">
        <v>559</v>
      </c>
      <c r="L208" s="10" t="s">
        <v>559</v>
      </c>
      <c r="M208" s="9" t="s">
        <v>100</v>
      </c>
      <c r="N208" s="10" t="s">
        <v>522</v>
      </c>
      <c r="O208" s="9" t="s">
        <v>100</v>
      </c>
      <c r="P208" s="10"/>
      <c r="Q208" s="10" t="s">
        <v>522</v>
      </c>
      <c r="R208" s="10" t="s">
        <v>119</v>
      </c>
      <c r="S208" s="10" t="s">
        <v>130</v>
      </c>
      <c r="T208" s="10" t="s">
        <v>120</v>
      </c>
      <c r="U208" s="10" t="s">
        <v>101</v>
      </c>
      <c r="V208" s="10" t="s">
        <v>121</v>
      </c>
      <c r="W208" s="10" t="s">
        <v>122</v>
      </c>
      <c r="X208" s="10" t="s">
        <v>123</v>
      </c>
      <c r="Y208" s="29">
        <v>1</v>
      </c>
      <c r="Z208" s="138" t="s">
        <v>591</v>
      </c>
      <c r="AA208" s="138">
        <v>38174</v>
      </c>
      <c r="AB208" s="9" t="s">
        <v>114</v>
      </c>
      <c r="AC208" s="9" t="s">
        <v>124</v>
      </c>
      <c r="AD208" s="15">
        <v>44651</v>
      </c>
      <c r="AE208" s="39" t="s">
        <v>125</v>
      </c>
      <c r="AF208" s="177">
        <v>6</v>
      </c>
      <c r="AG208" s="140">
        <v>0</v>
      </c>
      <c r="AH208" s="9">
        <v>0</v>
      </c>
      <c r="AI208" s="10" t="s">
        <v>126</v>
      </c>
      <c r="AJ208" s="10"/>
      <c r="AK208" s="29"/>
      <c r="AL208" s="12">
        <v>1</v>
      </c>
      <c r="AM208" s="10"/>
      <c r="AN208" s="12">
        <f>FAR[[#This Row],[Opening RUL]]+FAR[[#This Row],[RUL Adjustment]]</f>
        <v>1</v>
      </c>
      <c r="AO208" s="12">
        <f>FAR[[#This Row],[Opening RUL 30 June 2026]]-1</f>
        <v>0</v>
      </c>
      <c r="AP208" s="12" t="s">
        <v>1050</v>
      </c>
      <c r="AQ208" s="139"/>
      <c r="AR208" s="10" t="s">
        <v>127</v>
      </c>
      <c r="AS208" s="13">
        <v>1516.2</v>
      </c>
      <c r="AT208" s="13"/>
      <c r="AU208" s="13">
        <v>0</v>
      </c>
      <c r="AV208" s="13">
        <v>0</v>
      </c>
      <c r="AW208" s="13">
        <v>0</v>
      </c>
      <c r="AX208" s="13">
        <v>1516.2</v>
      </c>
      <c r="AY208" s="13">
        <v>84.233333333333348</v>
      </c>
      <c r="AZ208" s="13">
        <v>0</v>
      </c>
      <c r="BA208" s="13"/>
      <c r="BB208" s="13"/>
      <c r="BC208" s="13">
        <v>-1431.9666666666667</v>
      </c>
      <c r="BD208" s="13"/>
      <c r="BE208" s="13" t="s">
        <v>114</v>
      </c>
      <c r="BF208" s="29"/>
      <c r="BG208" s="13"/>
      <c r="BH208" s="13">
        <f>-FAR[[#This Row],[Carrying value (opening balance)]]/FAR[[#This Row],[Opening RUL 30 June 2026]]</f>
        <v>-84.233333333333348</v>
      </c>
      <c r="BI208" s="13">
        <f>FAR[[#This Row],[Depreciation YTD]]/12</f>
        <v>-7.0194444444444457</v>
      </c>
      <c r="BJ208" s="13"/>
      <c r="BK208" s="13" t="s">
        <v>116</v>
      </c>
      <c r="BL208" s="13">
        <v>0</v>
      </c>
      <c r="BM208" s="13">
        <f>FAR[[#This Row],[Accumulated depreciation (Opening balance)]]+FAR[[#This Row],[Depreciation YTD]]+FAR[[#This Row],[Derecognitions (acc dep) '[+']]]</f>
        <v>-1516.2</v>
      </c>
      <c r="BN208" s="13"/>
      <c r="BO208" s="13"/>
      <c r="BP208" s="13"/>
      <c r="BQ208" s="13"/>
      <c r="BR20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08" s="13">
        <f>FAR[[#This Row],[Cost Price (closing balance)]]+FAR[[#This Row],[Accumulated depreciation (Closing balance)]]+FAR[[#This Row],[Accumulated impairments (Closing balance)]]</f>
        <v>0</v>
      </c>
      <c r="BT208" s="13"/>
      <c r="BU208" s="13"/>
      <c r="BV208" s="13"/>
      <c r="BW208" s="10" t="s">
        <v>167</v>
      </c>
      <c r="BX208" s="9" t="s">
        <v>168</v>
      </c>
      <c r="BY208" s="10"/>
      <c r="BZ208" t="s">
        <v>945</v>
      </c>
      <c r="CA208"/>
      <c r="CB208" s="34"/>
      <c r="CC208" s="34"/>
      <c r="CD208" s="34"/>
      <c r="CE208" s="141"/>
    </row>
    <row r="209" spans="1:83">
      <c r="A209" s="35" t="s">
        <v>379</v>
      </c>
      <c r="B209" s="9" t="s">
        <v>910</v>
      </c>
      <c r="C209" s="9" t="s">
        <v>54</v>
      </c>
      <c r="D209" s="10" t="s">
        <v>1</v>
      </c>
      <c r="E209" s="9" t="s">
        <v>115</v>
      </c>
      <c r="F209" s="36" t="s">
        <v>99</v>
      </c>
      <c r="G209" s="9" t="s">
        <v>100</v>
      </c>
      <c r="H209" s="3" t="s">
        <v>128</v>
      </c>
      <c r="I209" s="9" t="s">
        <v>100</v>
      </c>
      <c r="J209" s="36" t="s">
        <v>101</v>
      </c>
      <c r="K209" s="10" t="s">
        <v>559</v>
      </c>
      <c r="L209" s="10" t="s">
        <v>559</v>
      </c>
      <c r="M209" s="9" t="s">
        <v>100</v>
      </c>
      <c r="N209" s="10" t="s">
        <v>522</v>
      </c>
      <c r="O209" s="9" t="s">
        <v>100</v>
      </c>
      <c r="P209" s="10"/>
      <c r="Q209" s="10" t="s">
        <v>522</v>
      </c>
      <c r="R209" s="10" t="s">
        <v>119</v>
      </c>
      <c r="S209" s="10" t="s">
        <v>130</v>
      </c>
      <c r="T209" s="10" t="s">
        <v>120</v>
      </c>
      <c r="U209" s="10" t="s">
        <v>101</v>
      </c>
      <c r="V209" s="10" t="s">
        <v>121</v>
      </c>
      <c r="W209" s="10" t="s">
        <v>122</v>
      </c>
      <c r="X209" s="10" t="s">
        <v>123</v>
      </c>
      <c r="Y209" s="29">
        <v>1</v>
      </c>
      <c r="Z209" s="138" t="s">
        <v>591</v>
      </c>
      <c r="AA209" s="138">
        <v>38174</v>
      </c>
      <c r="AB209" s="9" t="s">
        <v>114</v>
      </c>
      <c r="AC209" s="9" t="s">
        <v>124</v>
      </c>
      <c r="AD209" s="15">
        <v>44651</v>
      </c>
      <c r="AE209" s="39" t="s">
        <v>125</v>
      </c>
      <c r="AF209" s="177">
        <v>6</v>
      </c>
      <c r="AG209" s="140">
        <v>0</v>
      </c>
      <c r="AH209" s="9">
        <v>0</v>
      </c>
      <c r="AI209" s="10" t="s">
        <v>126</v>
      </c>
      <c r="AJ209" s="10"/>
      <c r="AK209" s="29"/>
      <c r="AL209" s="12">
        <v>1</v>
      </c>
      <c r="AM209" s="10"/>
      <c r="AN209" s="12">
        <f>FAR[[#This Row],[Opening RUL]]+FAR[[#This Row],[RUL Adjustment]]</f>
        <v>1</v>
      </c>
      <c r="AO209" s="12">
        <f>FAR[[#This Row],[Opening RUL 30 June 2026]]-1</f>
        <v>0</v>
      </c>
      <c r="AP209" s="12" t="s">
        <v>1050</v>
      </c>
      <c r="AQ209" s="139"/>
      <c r="AR209" s="10" t="s">
        <v>127</v>
      </c>
      <c r="AS209" s="13">
        <v>1516.2</v>
      </c>
      <c r="AT209" s="13"/>
      <c r="AU209" s="13">
        <v>0</v>
      </c>
      <c r="AV209" s="13">
        <v>0</v>
      </c>
      <c r="AW209" s="13">
        <v>0</v>
      </c>
      <c r="AX209" s="13">
        <v>1516.2</v>
      </c>
      <c r="AY209" s="13">
        <v>84.233333333333348</v>
      </c>
      <c r="AZ209" s="13">
        <v>0</v>
      </c>
      <c r="BA209" s="13"/>
      <c r="BB209" s="13"/>
      <c r="BC209" s="13">
        <v>-1431.9666666666667</v>
      </c>
      <c r="BD209" s="13"/>
      <c r="BE209" s="13" t="s">
        <v>114</v>
      </c>
      <c r="BF209" s="29"/>
      <c r="BG209" s="13"/>
      <c r="BH209" s="13">
        <f>-FAR[[#This Row],[Carrying value (opening balance)]]/FAR[[#This Row],[Opening RUL 30 June 2026]]</f>
        <v>-84.233333333333348</v>
      </c>
      <c r="BI209" s="13">
        <f>FAR[[#This Row],[Depreciation YTD]]/12</f>
        <v>-7.0194444444444457</v>
      </c>
      <c r="BJ209" s="13"/>
      <c r="BK209" s="13" t="s">
        <v>116</v>
      </c>
      <c r="BL209" s="13">
        <v>0</v>
      </c>
      <c r="BM209" s="13">
        <f>FAR[[#This Row],[Accumulated depreciation (Opening balance)]]+FAR[[#This Row],[Depreciation YTD]]+FAR[[#This Row],[Derecognitions (acc dep) '[+']]]</f>
        <v>-1516.2</v>
      </c>
      <c r="BN209" s="13"/>
      <c r="BO209" s="13"/>
      <c r="BP209" s="13"/>
      <c r="BQ209" s="13"/>
      <c r="BR20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09" s="13">
        <f>FAR[[#This Row],[Cost Price (closing balance)]]+FAR[[#This Row],[Accumulated depreciation (Closing balance)]]+FAR[[#This Row],[Accumulated impairments (Closing balance)]]</f>
        <v>0</v>
      </c>
      <c r="BT209" s="13"/>
      <c r="BU209" s="13"/>
      <c r="BV209" s="13"/>
      <c r="BW209" s="10" t="s">
        <v>167</v>
      </c>
      <c r="BX209" s="9" t="s">
        <v>168</v>
      </c>
      <c r="BY209" s="10"/>
      <c r="BZ209" t="s">
        <v>953</v>
      </c>
      <c r="CA209"/>
      <c r="CB209" s="34"/>
      <c r="CC209" s="34"/>
      <c r="CD209" s="34"/>
      <c r="CE209" s="141"/>
    </row>
    <row r="210" spans="1:83">
      <c r="A210" s="35" t="s">
        <v>380</v>
      </c>
      <c r="B210" s="9" t="s">
        <v>896</v>
      </c>
      <c r="C210" s="9" t="s">
        <v>54</v>
      </c>
      <c r="D210" s="10" t="s">
        <v>1</v>
      </c>
      <c r="E210" s="9" t="s">
        <v>115</v>
      </c>
      <c r="F210" s="36" t="s">
        <v>99</v>
      </c>
      <c r="G210" s="9" t="s">
        <v>100</v>
      </c>
      <c r="H210" s="3" t="s">
        <v>128</v>
      </c>
      <c r="I210" s="9" t="s">
        <v>100</v>
      </c>
      <c r="J210" s="36" t="s">
        <v>101</v>
      </c>
      <c r="K210" s="10" t="s">
        <v>559</v>
      </c>
      <c r="L210" s="10" t="s">
        <v>559</v>
      </c>
      <c r="M210" s="9" t="s">
        <v>100</v>
      </c>
      <c r="N210" s="10" t="s">
        <v>522</v>
      </c>
      <c r="O210" s="9" t="s">
        <v>100</v>
      </c>
      <c r="P210" s="10"/>
      <c r="Q210" s="10" t="s">
        <v>522</v>
      </c>
      <c r="R210" s="10" t="s">
        <v>119</v>
      </c>
      <c r="S210" s="10" t="s">
        <v>130</v>
      </c>
      <c r="T210" s="10" t="s">
        <v>120</v>
      </c>
      <c r="U210" s="10" t="s">
        <v>101</v>
      </c>
      <c r="V210" s="10" t="s">
        <v>121</v>
      </c>
      <c r="W210" s="10" t="s">
        <v>122</v>
      </c>
      <c r="X210" s="10" t="s">
        <v>123</v>
      </c>
      <c r="Y210" s="29">
        <v>1</v>
      </c>
      <c r="Z210" s="138" t="s">
        <v>591</v>
      </c>
      <c r="AA210" s="138">
        <v>38174</v>
      </c>
      <c r="AB210" s="9" t="s">
        <v>114</v>
      </c>
      <c r="AC210" s="9" t="s">
        <v>124</v>
      </c>
      <c r="AD210" s="15">
        <v>44651</v>
      </c>
      <c r="AE210" s="39" t="s">
        <v>125</v>
      </c>
      <c r="AF210" s="177">
        <v>6</v>
      </c>
      <c r="AG210" s="140">
        <v>0</v>
      </c>
      <c r="AH210" s="9">
        <v>0</v>
      </c>
      <c r="AI210" s="10" t="s">
        <v>126</v>
      </c>
      <c r="AJ210" s="10"/>
      <c r="AK210" s="29"/>
      <c r="AL210" s="12">
        <v>1</v>
      </c>
      <c r="AM210" s="10"/>
      <c r="AN210" s="12">
        <f>FAR[[#This Row],[Opening RUL]]+FAR[[#This Row],[RUL Adjustment]]</f>
        <v>1</v>
      </c>
      <c r="AO210" s="12">
        <f>FAR[[#This Row],[Opening RUL 30 June 2026]]-1</f>
        <v>0</v>
      </c>
      <c r="AP210" s="12" t="s">
        <v>1050</v>
      </c>
      <c r="AQ210" s="139"/>
      <c r="AR210" s="10" t="s">
        <v>127</v>
      </c>
      <c r="AS210" s="13">
        <v>1516.2</v>
      </c>
      <c r="AT210" s="13"/>
      <c r="AU210" s="13">
        <v>0</v>
      </c>
      <c r="AV210" s="13">
        <v>0</v>
      </c>
      <c r="AW210" s="13">
        <v>0</v>
      </c>
      <c r="AX210" s="13">
        <v>1516.2</v>
      </c>
      <c r="AY210" s="13">
        <v>84.233333333333348</v>
      </c>
      <c r="AZ210" s="13">
        <v>0</v>
      </c>
      <c r="BA210" s="13"/>
      <c r="BB210" s="13"/>
      <c r="BC210" s="13">
        <v>-1431.9666666666667</v>
      </c>
      <c r="BD210" s="13"/>
      <c r="BE210" s="13" t="s">
        <v>114</v>
      </c>
      <c r="BF210" s="29"/>
      <c r="BG210" s="13"/>
      <c r="BH210" s="13">
        <f>-FAR[[#This Row],[Carrying value (opening balance)]]/FAR[[#This Row],[Opening RUL 30 June 2026]]</f>
        <v>-84.233333333333348</v>
      </c>
      <c r="BI210" s="13">
        <f>FAR[[#This Row],[Depreciation YTD]]/12</f>
        <v>-7.0194444444444457</v>
      </c>
      <c r="BJ210" s="13"/>
      <c r="BK210" s="13" t="s">
        <v>116</v>
      </c>
      <c r="BL210" s="13">
        <v>0</v>
      </c>
      <c r="BM210" s="13">
        <f>FAR[[#This Row],[Accumulated depreciation (Opening balance)]]+FAR[[#This Row],[Depreciation YTD]]+FAR[[#This Row],[Derecognitions (acc dep) '[+']]]</f>
        <v>-1516.2</v>
      </c>
      <c r="BN210" s="13"/>
      <c r="BO210" s="13"/>
      <c r="BP210" s="13"/>
      <c r="BQ210" s="13"/>
      <c r="BR21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10" s="13">
        <f>FAR[[#This Row],[Cost Price (closing balance)]]+FAR[[#This Row],[Accumulated depreciation (Closing balance)]]+FAR[[#This Row],[Accumulated impairments (Closing balance)]]</f>
        <v>0</v>
      </c>
      <c r="BT210" s="13"/>
      <c r="BU210" s="13"/>
      <c r="BV210" s="13"/>
      <c r="BW210" s="10" t="s">
        <v>167</v>
      </c>
      <c r="BX210" s="9" t="s">
        <v>168</v>
      </c>
      <c r="BY210" s="10"/>
      <c r="BZ210" t="s">
        <v>948</v>
      </c>
      <c r="CA210"/>
      <c r="CB210" s="34"/>
      <c r="CC210" s="34"/>
      <c r="CD210" s="34"/>
      <c r="CE210" s="141"/>
    </row>
    <row r="211" spans="1:83">
      <c r="A211" s="35" t="s">
        <v>381</v>
      </c>
      <c r="B211" s="9" t="s">
        <v>889</v>
      </c>
      <c r="C211" s="9" t="s">
        <v>54</v>
      </c>
      <c r="D211" s="10" t="s">
        <v>1</v>
      </c>
      <c r="E211" s="9" t="s">
        <v>115</v>
      </c>
      <c r="F211" s="36" t="s">
        <v>99</v>
      </c>
      <c r="G211" s="9" t="s">
        <v>100</v>
      </c>
      <c r="H211" s="3" t="s">
        <v>128</v>
      </c>
      <c r="I211" s="9" t="s">
        <v>100</v>
      </c>
      <c r="J211" s="36" t="s">
        <v>101</v>
      </c>
      <c r="K211" s="10" t="s">
        <v>559</v>
      </c>
      <c r="L211" s="10" t="s">
        <v>559</v>
      </c>
      <c r="M211" s="9" t="s">
        <v>100</v>
      </c>
      <c r="N211" s="10" t="s">
        <v>467</v>
      </c>
      <c r="O211" s="9" t="s">
        <v>100</v>
      </c>
      <c r="P211" s="10"/>
      <c r="Q211" s="10" t="s">
        <v>467</v>
      </c>
      <c r="R211" s="10" t="s">
        <v>119</v>
      </c>
      <c r="S211" s="10" t="s">
        <v>130</v>
      </c>
      <c r="T211" s="10" t="s">
        <v>120</v>
      </c>
      <c r="U211" s="10" t="s">
        <v>101</v>
      </c>
      <c r="V211" s="10" t="s">
        <v>121</v>
      </c>
      <c r="W211" s="10" t="s">
        <v>122</v>
      </c>
      <c r="X211" s="10" t="s">
        <v>123</v>
      </c>
      <c r="Y211" s="29">
        <v>1</v>
      </c>
      <c r="Z211" s="138" t="s">
        <v>579</v>
      </c>
      <c r="AA211" s="138">
        <v>40025</v>
      </c>
      <c r="AB211" s="9" t="s">
        <v>114</v>
      </c>
      <c r="AC211" s="9" t="s">
        <v>124</v>
      </c>
      <c r="AD211" s="15">
        <v>44651</v>
      </c>
      <c r="AE211" s="39" t="s">
        <v>125</v>
      </c>
      <c r="AF211" s="177">
        <v>6</v>
      </c>
      <c r="AG211" s="140">
        <v>0</v>
      </c>
      <c r="AH211" s="9">
        <v>0</v>
      </c>
      <c r="AI211" s="10" t="s">
        <v>126</v>
      </c>
      <c r="AJ211" s="10"/>
      <c r="AK211" s="29"/>
      <c r="AL211" s="12">
        <v>1</v>
      </c>
      <c r="AM211" s="10"/>
      <c r="AN211" s="12">
        <f>FAR[[#This Row],[Opening RUL]]+FAR[[#This Row],[RUL Adjustment]]</f>
        <v>1</v>
      </c>
      <c r="AO211" s="12">
        <f>FAR[[#This Row],[Opening RUL 30 June 2026]]-1</f>
        <v>0</v>
      </c>
      <c r="AP211" s="12" t="s">
        <v>1050</v>
      </c>
      <c r="AQ211" s="139"/>
      <c r="AR211" s="10" t="s">
        <v>127</v>
      </c>
      <c r="AS211" s="13">
        <v>2804.4</v>
      </c>
      <c r="AT211" s="13"/>
      <c r="AU211" s="13">
        <v>0</v>
      </c>
      <c r="AV211" s="13">
        <v>0</v>
      </c>
      <c r="AW211" s="13">
        <v>0</v>
      </c>
      <c r="AX211" s="13">
        <v>2804.4</v>
      </c>
      <c r="AY211" s="13">
        <v>155.79999999999973</v>
      </c>
      <c r="AZ211" s="13">
        <v>0</v>
      </c>
      <c r="BA211" s="13"/>
      <c r="BB211" s="13"/>
      <c r="BC211" s="13">
        <v>-2648.6000000000004</v>
      </c>
      <c r="BD211" s="13"/>
      <c r="BE211" s="13" t="s">
        <v>114</v>
      </c>
      <c r="BF211" s="29"/>
      <c r="BG211" s="13"/>
      <c r="BH211" s="13">
        <f>-FAR[[#This Row],[Carrying value (opening balance)]]/FAR[[#This Row],[Opening RUL 30 June 2026]]</f>
        <v>-155.79999999999973</v>
      </c>
      <c r="BI211" s="13">
        <f>FAR[[#This Row],[Depreciation YTD]]/12</f>
        <v>-12.983333333333311</v>
      </c>
      <c r="BJ211" s="13"/>
      <c r="BK211" s="13" t="s">
        <v>116</v>
      </c>
      <c r="BL211" s="13">
        <v>0</v>
      </c>
      <c r="BM211" s="13">
        <f>FAR[[#This Row],[Accumulated depreciation (Opening balance)]]+FAR[[#This Row],[Depreciation YTD]]+FAR[[#This Row],[Derecognitions (acc dep) '[+']]]</f>
        <v>-2804.4</v>
      </c>
      <c r="BN211" s="13"/>
      <c r="BO211" s="13"/>
      <c r="BP211" s="13"/>
      <c r="BQ211" s="13"/>
      <c r="BR21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11" s="13">
        <f>FAR[[#This Row],[Cost Price (closing balance)]]+FAR[[#This Row],[Accumulated depreciation (Closing balance)]]+FAR[[#This Row],[Accumulated impairments (Closing balance)]]</f>
        <v>0</v>
      </c>
      <c r="BT211" s="13"/>
      <c r="BU211" s="13"/>
      <c r="BV211" s="13"/>
      <c r="BW211" s="10" t="s">
        <v>167</v>
      </c>
      <c r="BX211" s="9" t="s">
        <v>168</v>
      </c>
      <c r="BY211" s="10"/>
      <c r="BZ211" t="s">
        <v>978</v>
      </c>
      <c r="CA211"/>
      <c r="CB211" s="34"/>
      <c r="CC211" s="34"/>
      <c r="CD211" s="34"/>
      <c r="CE211" s="141"/>
    </row>
    <row r="212" spans="1:83">
      <c r="A212" s="35" t="s">
        <v>382</v>
      </c>
      <c r="B212" s="9" t="s">
        <v>901</v>
      </c>
      <c r="C212" s="9" t="s">
        <v>54</v>
      </c>
      <c r="D212" s="10" t="s">
        <v>1</v>
      </c>
      <c r="E212" s="9" t="s">
        <v>115</v>
      </c>
      <c r="F212" s="36" t="s">
        <v>99</v>
      </c>
      <c r="G212" s="9" t="s">
        <v>100</v>
      </c>
      <c r="H212" s="3" t="s">
        <v>128</v>
      </c>
      <c r="I212" s="9" t="s">
        <v>100</v>
      </c>
      <c r="J212" s="36" t="s">
        <v>101</v>
      </c>
      <c r="K212" s="10" t="s">
        <v>559</v>
      </c>
      <c r="L212" s="10" t="s">
        <v>559</v>
      </c>
      <c r="M212" s="9" t="s">
        <v>100</v>
      </c>
      <c r="N212" s="10" t="s">
        <v>467</v>
      </c>
      <c r="O212" s="9" t="s">
        <v>100</v>
      </c>
      <c r="P212" s="10"/>
      <c r="Q212" s="10" t="s">
        <v>467</v>
      </c>
      <c r="R212" s="10" t="s">
        <v>119</v>
      </c>
      <c r="S212" s="10" t="s">
        <v>130</v>
      </c>
      <c r="T212" s="10" t="s">
        <v>120</v>
      </c>
      <c r="U212" s="10" t="s">
        <v>101</v>
      </c>
      <c r="V212" s="10" t="s">
        <v>121</v>
      </c>
      <c r="W212" s="10" t="s">
        <v>122</v>
      </c>
      <c r="X212" s="10" t="s">
        <v>123</v>
      </c>
      <c r="Y212" s="29">
        <v>1</v>
      </c>
      <c r="Z212" s="138" t="s">
        <v>579</v>
      </c>
      <c r="AA212" s="138">
        <v>40025</v>
      </c>
      <c r="AB212" s="9" t="s">
        <v>114</v>
      </c>
      <c r="AC212" s="9" t="s">
        <v>124</v>
      </c>
      <c r="AD212" s="15">
        <v>44651</v>
      </c>
      <c r="AE212" s="39" t="s">
        <v>125</v>
      </c>
      <c r="AF212" s="177">
        <v>6</v>
      </c>
      <c r="AG212" s="140">
        <v>0</v>
      </c>
      <c r="AH212" s="9">
        <v>0</v>
      </c>
      <c r="AI212" s="10" t="s">
        <v>126</v>
      </c>
      <c r="AJ212" s="10"/>
      <c r="AK212" s="29"/>
      <c r="AL212" s="12">
        <v>1</v>
      </c>
      <c r="AM212" s="10"/>
      <c r="AN212" s="12">
        <f>FAR[[#This Row],[Opening RUL]]+FAR[[#This Row],[RUL Adjustment]]</f>
        <v>1</v>
      </c>
      <c r="AO212" s="12">
        <f>FAR[[#This Row],[Opening RUL 30 June 2026]]-1</f>
        <v>0</v>
      </c>
      <c r="AP212" s="12" t="s">
        <v>1052</v>
      </c>
      <c r="AQ212" s="139"/>
      <c r="AR212" s="10" t="s">
        <v>127</v>
      </c>
      <c r="AS212" s="13">
        <v>2804.4</v>
      </c>
      <c r="AT212" s="13"/>
      <c r="AU212" s="13">
        <v>0</v>
      </c>
      <c r="AV212" s="13">
        <v>0</v>
      </c>
      <c r="AW212" s="13">
        <v>0</v>
      </c>
      <c r="AX212" s="13">
        <v>2804.4</v>
      </c>
      <c r="AY212" s="13">
        <v>155.79999999999973</v>
      </c>
      <c r="AZ212" s="13">
        <v>0</v>
      </c>
      <c r="BA212" s="13"/>
      <c r="BB212" s="13"/>
      <c r="BC212" s="13">
        <v>-2648.6000000000004</v>
      </c>
      <c r="BD212" s="13"/>
      <c r="BE212" s="13" t="s">
        <v>114</v>
      </c>
      <c r="BF212" s="29"/>
      <c r="BG212" s="13"/>
      <c r="BH212" s="13">
        <f>-FAR[[#This Row],[Carrying value (opening balance)]]/FAR[[#This Row],[Opening RUL 30 June 2026]]</f>
        <v>-155.79999999999973</v>
      </c>
      <c r="BI212" s="13">
        <f>FAR[[#This Row],[Depreciation YTD]]/12</f>
        <v>-12.983333333333311</v>
      </c>
      <c r="BJ212" s="13"/>
      <c r="BK212" s="13" t="s">
        <v>116</v>
      </c>
      <c r="BL212" s="13">
        <v>0</v>
      </c>
      <c r="BM212" s="13">
        <f>FAR[[#This Row],[Accumulated depreciation (Opening balance)]]+FAR[[#This Row],[Depreciation YTD]]+FAR[[#This Row],[Derecognitions (acc dep) '[+']]]</f>
        <v>-2804.4</v>
      </c>
      <c r="BN212" s="13"/>
      <c r="BO212" s="13"/>
      <c r="BP212" s="13"/>
      <c r="BQ212" s="13"/>
      <c r="BR21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12" s="13">
        <f>FAR[[#This Row],[Cost Price (closing balance)]]+FAR[[#This Row],[Accumulated depreciation (Closing balance)]]+FAR[[#This Row],[Accumulated impairments (Closing balance)]]</f>
        <v>0</v>
      </c>
      <c r="BT212" s="13"/>
      <c r="BU212" s="13"/>
      <c r="BV212" s="13"/>
      <c r="BW212" s="10" t="s">
        <v>167</v>
      </c>
      <c r="BX212" s="9" t="s">
        <v>168</v>
      </c>
      <c r="BY212" s="10"/>
      <c r="BZ212" t="s">
        <v>989</v>
      </c>
      <c r="CA212"/>
      <c r="CB212" s="34"/>
      <c r="CC212" s="34"/>
      <c r="CD212" s="34"/>
      <c r="CE212" s="141"/>
    </row>
    <row r="213" spans="1:83">
      <c r="A213" s="35" t="s">
        <v>383</v>
      </c>
      <c r="B213" s="9" t="s">
        <v>911</v>
      </c>
      <c r="C213" s="9" t="s">
        <v>54</v>
      </c>
      <c r="D213" s="10" t="s">
        <v>1</v>
      </c>
      <c r="E213" s="9" t="s">
        <v>115</v>
      </c>
      <c r="F213" s="36" t="s">
        <v>99</v>
      </c>
      <c r="G213" s="9" t="s">
        <v>100</v>
      </c>
      <c r="H213" s="3" t="s">
        <v>128</v>
      </c>
      <c r="I213" s="9" t="s">
        <v>100</v>
      </c>
      <c r="J213" s="36" t="s">
        <v>101</v>
      </c>
      <c r="K213" s="10" t="s">
        <v>559</v>
      </c>
      <c r="L213" s="10" t="s">
        <v>559</v>
      </c>
      <c r="M213" s="9" t="s">
        <v>100</v>
      </c>
      <c r="N213" s="10" t="s">
        <v>523</v>
      </c>
      <c r="O213" s="9" t="s">
        <v>100</v>
      </c>
      <c r="P213" s="10"/>
      <c r="Q213" s="10" t="s">
        <v>523</v>
      </c>
      <c r="R213" s="10" t="s">
        <v>119</v>
      </c>
      <c r="S213" s="10" t="s">
        <v>130</v>
      </c>
      <c r="T213" s="10" t="s">
        <v>120</v>
      </c>
      <c r="U213" s="10" t="s">
        <v>101</v>
      </c>
      <c r="V213" s="10" t="s">
        <v>121</v>
      </c>
      <c r="W213" s="10" t="s">
        <v>122</v>
      </c>
      <c r="X213" s="10" t="s">
        <v>123</v>
      </c>
      <c r="Y213" s="29">
        <v>1</v>
      </c>
      <c r="Z213" s="138" t="s">
        <v>579</v>
      </c>
      <c r="AA213" s="138">
        <v>40025</v>
      </c>
      <c r="AB213" s="9" t="s">
        <v>114</v>
      </c>
      <c r="AC213" s="9" t="s">
        <v>124</v>
      </c>
      <c r="AD213" s="15">
        <v>44651</v>
      </c>
      <c r="AE213" s="39" t="s">
        <v>125</v>
      </c>
      <c r="AF213" s="177">
        <v>6</v>
      </c>
      <c r="AG213" s="140">
        <v>0</v>
      </c>
      <c r="AH213" s="9">
        <v>0</v>
      </c>
      <c r="AI213" s="10" t="s">
        <v>126</v>
      </c>
      <c r="AJ213" s="10"/>
      <c r="AK213" s="29"/>
      <c r="AL213" s="12">
        <v>1</v>
      </c>
      <c r="AM213" s="10"/>
      <c r="AN213" s="12">
        <f>FAR[[#This Row],[Opening RUL]]+FAR[[#This Row],[RUL Adjustment]]</f>
        <v>1</v>
      </c>
      <c r="AO213" s="12">
        <f>FAR[[#This Row],[Opening RUL 30 June 2026]]-1</f>
        <v>0</v>
      </c>
      <c r="AP213" s="12" t="s">
        <v>1050</v>
      </c>
      <c r="AQ213" s="139"/>
      <c r="AR213" s="10" t="s">
        <v>127</v>
      </c>
      <c r="AS213" s="13">
        <v>2804.4</v>
      </c>
      <c r="AT213" s="13"/>
      <c r="AU213" s="13">
        <v>0</v>
      </c>
      <c r="AV213" s="13">
        <v>0</v>
      </c>
      <c r="AW213" s="13">
        <v>0</v>
      </c>
      <c r="AX213" s="13">
        <v>2804.4</v>
      </c>
      <c r="AY213" s="13">
        <v>155.79999999999973</v>
      </c>
      <c r="AZ213" s="13">
        <v>0</v>
      </c>
      <c r="BA213" s="13"/>
      <c r="BB213" s="13"/>
      <c r="BC213" s="13">
        <v>-2648.6000000000004</v>
      </c>
      <c r="BD213" s="13"/>
      <c r="BE213" s="13" t="s">
        <v>114</v>
      </c>
      <c r="BF213" s="29"/>
      <c r="BG213" s="13"/>
      <c r="BH213" s="13">
        <f>-FAR[[#This Row],[Carrying value (opening balance)]]/FAR[[#This Row],[Opening RUL 30 June 2026]]</f>
        <v>-155.79999999999973</v>
      </c>
      <c r="BI213" s="13">
        <f>FAR[[#This Row],[Depreciation YTD]]/12</f>
        <v>-12.983333333333311</v>
      </c>
      <c r="BJ213" s="13"/>
      <c r="BK213" s="13" t="s">
        <v>116</v>
      </c>
      <c r="BL213" s="13">
        <v>0</v>
      </c>
      <c r="BM213" s="13">
        <f>FAR[[#This Row],[Accumulated depreciation (Opening balance)]]+FAR[[#This Row],[Depreciation YTD]]+FAR[[#This Row],[Derecognitions (acc dep) '[+']]]</f>
        <v>-2804.4</v>
      </c>
      <c r="BN213" s="13"/>
      <c r="BO213" s="13"/>
      <c r="BP213" s="13"/>
      <c r="BQ213" s="13"/>
      <c r="BR21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13" s="13">
        <f>FAR[[#This Row],[Cost Price (closing balance)]]+FAR[[#This Row],[Accumulated depreciation (Closing balance)]]+FAR[[#This Row],[Accumulated impairments (Closing balance)]]</f>
        <v>0</v>
      </c>
      <c r="BT213" s="13"/>
      <c r="BU213" s="13"/>
      <c r="BV213" s="13"/>
      <c r="BW213" s="10" t="s">
        <v>167</v>
      </c>
      <c r="BX213" s="9" t="s">
        <v>168</v>
      </c>
      <c r="BY213" s="10"/>
      <c r="BZ213" t="s">
        <v>1012</v>
      </c>
      <c r="CA213"/>
      <c r="CB213" s="34"/>
      <c r="CC213" s="34"/>
      <c r="CD213" s="34"/>
      <c r="CE213" s="141"/>
    </row>
    <row r="214" spans="1:83">
      <c r="A214" s="35" t="s">
        <v>384</v>
      </c>
      <c r="B214" s="9" t="s">
        <v>886</v>
      </c>
      <c r="C214" s="9" t="s">
        <v>54</v>
      </c>
      <c r="D214" s="10" t="s">
        <v>1</v>
      </c>
      <c r="E214" s="9" t="s">
        <v>115</v>
      </c>
      <c r="F214" s="36" t="s">
        <v>99</v>
      </c>
      <c r="G214" s="9" t="s">
        <v>100</v>
      </c>
      <c r="H214" s="3" t="s">
        <v>128</v>
      </c>
      <c r="I214" s="9" t="s">
        <v>100</v>
      </c>
      <c r="J214" s="36" t="s">
        <v>101</v>
      </c>
      <c r="K214" s="10" t="s">
        <v>559</v>
      </c>
      <c r="L214" s="10" t="s">
        <v>559</v>
      </c>
      <c r="M214" s="9" t="s">
        <v>100</v>
      </c>
      <c r="N214" s="10" t="s">
        <v>489</v>
      </c>
      <c r="O214" s="9" t="s">
        <v>100</v>
      </c>
      <c r="P214" s="10"/>
      <c r="Q214" s="10" t="s">
        <v>489</v>
      </c>
      <c r="R214" s="10" t="s">
        <v>119</v>
      </c>
      <c r="S214" s="10" t="s">
        <v>130</v>
      </c>
      <c r="T214" s="10" t="s">
        <v>120</v>
      </c>
      <c r="U214" s="10" t="s">
        <v>101</v>
      </c>
      <c r="V214" s="10" t="s">
        <v>121</v>
      </c>
      <c r="W214" s="10" t="s">
        <v>122</v>
      </c>
      <c r="X214" s="10" t="s">
        <v>123</v>
      </c>
      <c r="Y214" s="29">
        <v>1</v>
      </c>
      <c r="Z214" s="138" t="s">
        <v>579</v>
      </c>
      <c r="AA214" s="138">
        <v>40025</v>
      </c>
      <c r="AB214" s="9" t="s">
        <v>114</v>
      </c>
      <c r="AC214" s="9" t="s">
        <v>124</v>
      </c>
      <c r="AD214" s="15">
        <v>44651</v>
      </c>
      <c r="AE214" s="39" t="s">
        <v>125</v>
      </c>
      <c r="AF214" s="177">
        <v>6</v>
      </c>
      <c r="AG214" s="140">
        <v>0</v>
      </c>
      <c r="AH214" s="9">
        <v>0</v>
      </c>
      <c r="AI214" s="10" t="s">
        <v>126</v>
      </c>
      <c r="AJ214" s="10"/>
      <c r="AK214" s="29"/>
      <c r="AL214" s="12">
        <v>1</v>
      </c>
      <c r="AM214" s="10"/>
      <c r="AN214" s="12">
        <f>FAR[[#This Row],[Opening RUL]]+FAR[[#This Row],[RUL Adjustment]]</f>
        <v>1</v>
      </c>
      <c r="AO214" s="12">
        <f>FAR[[#This Row],[Opening RUL 30 June 2026]]-1</f>
        <v>0</v>
      </c>
      <c r="AP214" s="12" t="s">
        <v>1050</v>
      </c>
      <c r="AQ214" s="139"/>
      <c r="AR214" s="10" t="s">
        <v>127</v>
      </c>
      <c r="AS214" s="13">
        <v>2804.4</v>
      </c>
      <c r="AT214" s="13"/>
      <c r="AU214" s="13">
        <v>0</v>
      </c>
      <c r="AV214" s="13">
        <v>0</v>
      </c>
      <c r="AW214" s="13">
        <v>0</v>
      </c>
      <c r="AX214" s="13">
        <v>2804.4</v>
      </c>
      <c r="AY214" s="13">
        <v>155.79999999999973</v>
      </c>
      <c r="AZ214" s="13">
        <v>0</v>
      </c>
      <c r="BA214" s="13"/>
      <c r="BB214" s="13"/>
      <c r="BC214" s="13">
        <v>-2648.6000000000004</v>
      </c>
      <c r="BD214" s="13"/>
      <c r="BE214" s="13" t="s">
        <v>114</v>
      </c>
      <c r="BF214" s="29"/>
      <c r="BG214" s="13"/>
      <c r="BH214" s="13">
        <f>-FAR[[#This Row],[Carrying value (opening balance)]]/FAR[[#This Row],[Opening RUL 30 June 2026]]</f>
        <v>-155.79999999999973</v>
      </c>
      <c r="BI214" s="13">
        <f>FAR[[#This Row],[Depreciation YTD]]/12</f>
        <v>-12.983333333333311</v>
      </c>
      <c r="BJ214" s="13"/>
      <c r="BK214" s="13" t="s">
        <v>116</v>
      </c>
      <c r="BL214" s="13">
        <v>0</v>
      </c>
      <c r="BM214" s="13">
        <f>FAR[[#This Row],[Accumulated depreciation (Opening balance)]]+FAR[[#This Row],[Depreciation YTD]]+FAR[[#This Row],[Derecognitions (acc dep) '[+']]]</f>
        <v>-2804.4</v>
      </c>
      <c r="BN214" s="13"/>
      <c r="BO214" s="13"/>
      <c r="BP214" s="13"/>
      <c r="BQ214" s="13"/>
      <c r="BR21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14" s="13">
        <f>FAR[[#This Row],[Cost Price (closing balance)]]+FAR[[#This Row],[Accumulated depreciation (Closing balance)]]+FAR[[#This Row],[Accumulated impairments (Closing balance)]]</f>
        <v>0</v>
      </c>
      <c r="BT214" s="13"/>
      <c r="BU214" s="13"/>
      <c r="BV214" s="13"/>
      <c r="BW214" s="10" t="s">
        <v>167</v>
      </c>
      <c r="BX214" s="9" t="s">
        <v>168</v>
      </c>
      <c r="BY214" s="10"/>
      <c r="BZ214" t="s">
        <v>1013</v>
      </c>
      <c r="CA214"/>
      <c r="CB214" s="34"/>
      <c r="CC214" s="34"/>
      <c r="CD214" s="34"/>
      <c r="CE214" s="141"/>
    </row>
    <row r="215" spans="1:83">
      <c r="A215" s="35" t="s">
        <v>385</v>
      </c>
      <c r="B215" s="9" t="s">
        <v>903</v>
      </c>
      <c r="C215" s="9" t="s">
        <v>54</v>
      </c>
      <c r="D215" s="10" t="s">
        <v>1</v>
      </c>
      <c r="E215" s="9" t="s">
        <v>115</v>
      </c>
      <c r="F215" s="36" t="s">
        <v>99</v>
      </c>
      <c r="G215" s="9" t="s">
        <v>100</v>
      </c>
      <c r="H215" s="3" t="s">
        <v>128</v>
      </c>
      <c r="I215" s="9" t="s">
        <v>100</v>
      </c>
      <c r="J215" s="36" t="s">
        <v>101</v>
      </c>
      <c r="K215" s="10" t="s">
        <v>559</v>
      </c>
      <c r="L215" s="10" t="s">
        <v>559</v>
      </c>
      <c r="M215" s="9" t="s">
        <v>100</v>
      </c>
      <c r="N215" s="10" t="s">
        <v>524</v>
      </c>
      <c r="O215" s="9" t="s">
        <v>100</v>
      </c>
      <c r="P215" s="10"/>
      <c r="Q215" s="10" t="s">
        <v>524</v>
      </c>
      <c r="R215" s="10" t="s">
        <v>119</v>
      </c>
      <c r="S215" s="10" t="s">
        <v>130</v>
      </c>
      <c r="T215" s="10" t="s">
        <v>120</v>
      </c>
      <c r="U215" s="10" t="s">
        <v>101</v>
      </c>
      <c r="V215" s="10" t="s">
        <v>121</v>
      </c>
      <c r="W215" s="10" t="s">
        <v>122</v>
      </c>
      <c r="X215" s="10" t="s">
        <v>123</v>
      </c>
      <c r="Y215" s="29">
        <v>1</v>
      </c>
      <c r="Z215" s="138" t="s">
        <v>561</v>
      </c>
      <c r="AA215" s="138">
        <v>38071</v>
      </c>
      <c r="AB215" s="9" t="s">
        <v>114</v>
      </c>
      <c r="AC215" s="9" t="s">
        <v>124</v>
      </c>
      <c r="AD215" s="15">
        <v>44651</v>
      </c>
      <c r="AE215" s="39" t="s">
        <v>125</v>
      </c>
      <c r="AF215" s="177">
        <v>6</v>
      </c>
      <c r="AG215" s="140">
        <v>0</v>
      </c>
      <c r="AH215" s="9">
        <v>0</v>
      </c>
      <c r="AI215" s="10" t="s">
        <v>126</v>
      </c>
      <c r="AJ215" s="10"/>
      <c r="AK215" s="29"/>
      <c r="AL215" s="12">
        <v>1</v>
      </c>
      <c r="AM215" s="10"/>
      <c r="AN215" s="12">
        <f>FAR[[#This Row],[Opening RUL]]+FAR[[#This Row],[RUL Adjustment]]</f>
        <v>1</v>
      </c>
      <c r="AO215" s="12">
        <f>FAR[[#This Row],[Opening RUL 30 June 2026]]-1</f>
        <v>0</v>
      </c>
      <c r="AP215" s="12" t="s">
        <v>1050</v>
      </c>
      <c r="AQ215" s="139"/>
      <c r="AR215" s="10" t="s">
        <v>127</v>
      </c>
      <c r="AS215" s="13">
        <v>1888.75</v>
      </c>
      <c r="AT215" s="13"/>
      <c r="AU215" s="13">
        <v>0</v>
      </c>
      <c r="AV215" s="13">
        <v>0</v>
      </c>
      <c r="AW215" s="13">
        <v>0</v>
      </c>
      <c r="AX215" s="13">
        <v>1888.75</v>
      </c>
      <c r="AY215" s="13">
        <v>104.93055555555566</v>
      </c>
      <c r="AZ215" s="13">
        <v>0</v>
      </c>
      <c r="BA215" s="13"/>
      <c r="BB215" s="13"/>
      <c r="BC215" s="13">
        <v>-1783.8194444444443</v>
      </c>
      <c r="BD215" s="13"/>
      <c r="BE215" s="13" t="s">
        <v>114</v>
      </c>
      <c r="BF215" s="29"/>
      <c r="BG215" s="13"/>
      <c r="BH215" s="13">
        <f>-FAR[[#This Row],[Carrying value (opening balance)]]/FAR[[#This Row],[Opening RUL 30 June 2026]]</f>
        <v>-104.93055555555566</v>
      </c>
      <c r="BI215" s="13">
        <f>FAR[[#This Row],[Depreciation YTD]]/12</f>
        <v>-8.7442129629629708</v>
      </c>
      <c r="BJ215" s="13"/>
      <c r="BK215" s="13" t="s">
        <v>116</v>
      </c>
      <c r="BL215" s="13">
        <v>0</v>
      </c>
      <c r="BM215" s="13">
        <f>FAR[[#This Row],[Accumulated depreciation (Opening balance)]]+FAR[[#This Row],[Depreciation YTD]]+FAR[[#This Row],[Derecognitions (acc dep) '[+']]]</f>
        <v>-1888.75</v>
      </c>
      <c r="BN215" s="13"/>
      <c r="BO215" s="13"/>
      <c r="BP215" s="13"/>
      <c r="BQ215" s="13"/>
      <c r="BR21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15" s="13">
        <f>FAR[[#This Row],[Cost Price (closing balance)]]+FAR[[#This Row],[Accumulated depreciation (Closing balance)]]+FAR[[#This Row],[Accumulated impairments (Closing balance)]]</f>
        <v>0</v>
      </c>
      <c r="BT215" s="13"/>
      <c r="BU215" s="13"/>
      <c r="BV215" s="13"/>
      <c r="BW215" s="10" t="s">
        <v>167</v>
      </c>
      <c r="BX215" s="9" t="s">
        <v>168</v>
      </c>
      <c r="BY215" s="10"/>
      <c r="BZ215" t="s">
        <v>994</v>
      </c>
      <c r="CA215"/>
      <c r="CB215" s="34"/>
      <c r="CC215" s="34"/>
      <c r="CD215" s="34"/>
      <c r="CE215" s="141"/>
    </row>
    <row r="216" spans="1:83">
      <c r="A216" s="35" t="s">
        <v>386</v>
      </c>
      <c r="B216" s="9" t="s">
        <v>885</v>
      </c>
      <c r="C216" s="9" t="s">
        <v>54</v>
      </c>
      <c r="D216" s="10" t="s">
        <v>1</v>
      </c>
      <c r="E216" s="9" t="s">
        <v>115</v>
      </c>
      <c r="F216" s="36" t="s">
        <v>99</v>
      </c>
      <c r="G216" s="9" t="s">
        <v>100</v>
      </c>
      <c r="H216" s="3" t="s">
        <v>128</v>
      </c>
      <c r="I216" s="9" t="s">
        <v>100</v>
      </c>
      <c r="J216" s="36" t="s">
        <v>101</v>
      </c>
      <c r="K216" s="10" t="s">
        <v>559</v>
      </c>
      <c r="L216" s="10" t="s">
        <v>559</v>
      </c>
      <c r="M216" s="9" t="s">
        <v>100</v>
      </c>
      <c r="N216" s="10" t="s">
        <v>489</v>
      </c>
      <c r="O216" s="9" t="s">
        <v>100</v>
      </c>
      <c r="P216" s="10"/>
      <c r="Q216" s="10" t="s">
        <v>489</v>
      </c>
      <c r="R216" s="10" t="s">
        <v>119</v>
      </c>
      <c r="S216" s="10" t="s">
        <v>130</v>
      </c>
      <c r="T216" s="10" t="s">
        <v>120</v>
      </c>
      <c r="U216" s="10" t="s">
        <v>101</v>
      </c>
      <c r="V216" s="10" t="s">
        <v>121</v>
      </c>
      <c r="W216" s="10" t="s">
        <v>122</v>
      </c>
      <c r="X216" s="10" t="s">
        <v>123</v>
      </c>
      <c r="Y216" s="29">
        <v>1</v>
      </c>
      <c r="Z216" s="138" t="s">
        <v>579</v>
      </c>
      <c r="AA216" s="138">
        <v>40025</v>
      </c>
      <c r="AB216" s="9" t="s">
        <v>114</v>
      </c>
      <c r="AC216" s="9" t="s">
        <v>124</v>
      </c>
      <c r="AD216" s="15">
        <v>44651</v>
      </c>
      <c r="AE216" s="39" t="s">
        <v>125</v>
      </c>
      <c r="AF216" s="177">
        <v>6</v>
      </c>
      <c r="AG216" s="140">
        <v>0</v>
      </c>
      <c r="AH216" s="9">
        <v>0</v>
      </c>
      <c r="AI216" s="10" t="s">
        <v>126</v>
      </c>
      <c r="AJ216" s="10"/>
      <c r="AK216" s="29"/>
      <c r="AL216" s="12">
        <v>1</v>
      </c>
      <c r="AM216" s="10"/>
      <c r="AN216" s="12">
        <f>FAR[[#This Row],[Opening RUL]]+FAR[[#This Row],[RUL Adjustment]]</f>
        <v>1</v>
      </c>
      <c r="AO216" s="12">
        <f>FAR[[#This Row],[Opening RUL 30 June 2026]]-1</f>
        <v>0</v>
      </c>
      <c r="AP216" s="12" t="s">
        <v>1050</v>
      </c>
      <c r="AQ216" s="139"/>
      <c r="AR216" s="10" t="s">
        <v>127</v>
      </c>
      <c r="AS216" s="13">
        <v>2804.4</v>
      </c>
      <c r="AT216" s="13"/>
      <c r="AU216" s="13">
        <v>0</v>
      </c>
      <c r="AV216" s="13">
        <v>0</v>
      </c>
      <c r="AW216" s="13">
        <v>0</v>
      </c>
      <c r="AX216" s="13">
        <v>2804.4</v>
      </c>
      <c r="AY216" s="13">
        <v>155.79999999999973</v>
      </c>
      <c r="AZ216" s="13">
        <v>0</v>
      </c>
      <c r="BA216" s="13"/>
      <c r="BB216" s="13"/>
      <c r="BC216" s="13">
        <v>-2648.6000000000004</v>
      </c>
      <c r="BD216" s="13"/>
      <c r="BE216" s="13" t="s">
        <v>114</v>
      </c>
      <c r="BF216" s="29"/>
      <c r="BG216" s="13"/>
      <c r="BH216" s="13">
        <f>-FAR[[#This Row],[Carrying value (opening balance)]]/FAR[[#This Row],[Opening RUL 30 June 2026]]</f>
        <v>-155.79999999999973</v>
      </c>
      <c r="BI216" s="13">
        <f>FAR[[#This Row],[Depreciation YTD]]/12</f>
        <v>-12.983333333333311</v>
      </c>
      <c r="BJ216" s="13"/>
      <c r="BK216" s="13" t="s">
        <v>116</v>
      </c>
      <c r="BL216" s="13">
        <v>0</v>
      </c>
      <c r="BM216" s="13">
        <f>FAR[[#This Row],[Accumulated depreciation (Opening balance)]]+FAR[[#This Row],[Depreciation YTD]]+FAR[[#This Row],[Derecognitions (acc dep) '[+']]]</f>
        <v>-2804.4</v>
      </c>
      <c r="BN216" s="13"/>
      <c r="BO216" s="13"/>
      <c r="BP216" s="13"/>
      <c r="BQ216" s="13"/>
      <c r="BR21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16" s="13">
        <f>FAR[[#This Row],[Cost Price (closing balance)]]+FAR[[#This Row],[Accumulated depreciation (Closing balance)]]+FAR[[#This Row],[Accumulated impairments (Closing balance)]]</f>
        <v>0</v>
      </c>
      <c r="BT216" s="13"/>
      <c r="BU216" s="13"/>
      <c r="BV216" s="13"/>
      <c r="BW216" s="10" t="s">
        <v>167</v>
      </c>
      <c r="BX216" s="9" t="s">
        <v>168</v>
      </c>
      <c r="BY216" s="10"/>
      <c r="BZ216" t="s">
        <v>974</v>
      </c>
      <c r="CA216"/>
      <c r="CB216" s="34"/>
      <c r="CC216" s="34"/>
      <c r="CD216" s="34"/>
      <c r="CE216" s="141"/>
    </row>
    <row r="217" spans="1:83">
      <c r="A217" s="35" t="s">
        <v>387</v>
      </c>
      <c r="B217" s="9" t="s">
        <v>868</v>
      </c>
      <c r="C217" s="9" t="s">
        <v>54</v>
      </c>
      <c r="D217" s="10" t="s">
        <v>1</v>
      </c>
      <c r="E217" s="9" t="s">
        <v>115</v>
      </c>
      <c r="F217" s="36" t="s">
        <v>99</v>
      </c>
      <c r="G217" s="9" t="s">
        <v>100</v>
      </c>
      <c r="H217" s="3" t="s">
        <v>128</v>
      </c>
      <c r="I217" s="9" t="s">
        <v>100</v>
      </c>
      <c r="J217" s="36" t="s">
        <v>101</v>
      </c>
      <c r="K217" s="10" t="s">
        <v>559</v>
      </c>
      <c r="L217" s="10" t="s">
        <v>559</v>
      </c>
      <c r="M217" s="9" t="s">
        <v>100</v>
      </c>
      <c r="N217" s="10" t="s">
        <v>525</v>
      </c>
      <c r="O217" s="9" t="s">
        <v>100</v>
      </c>
      <c r="P217" s="10"/>
      <c r="Q217" s="10" t="s">
        <v>525</v>
      </c>
      <c r="R217" s="10" t="s">
        <v>119</v>
      </c>
      <c r="S217" s="10" t="s">
        <v>130</v>
      </c>
      <c r="T217" s="10" t="s">
        <v>120</v>
      </c>
      <c r="U217" s="10" t="s">
        <v>101</v>
      </c>
      <c r="V217" s="10" t="s">
        <v>121</v>
      </c>
      <c r="W217" s="10" t="s">
        <v>122</v>
      </c>
      <c r="X217" s="10" t="s">
        <v>123</v>
      </c>
      <c r="Y217" s="29">
        <v>1</v>
      </c>
      <c r="Z217" s="138" t="s">
        <v>561</v>
      </c>
      <c r="AA217" s="138">
        <v>38071</v>
      </c>
      <c r="AB217" s="9" t="s">
        <v>114</v>
      </c>
      <c r="AC217" s="9" t="s">
        <v>124</v>
      </c>
      <c r="AD217" s="15">
        <v>44651</v>
      </c>
      <c r="AE217" s="39" t="s">
        <v>125</v>
      </c>
      <c r="AF217" s="177">
        <v>6</v>
      </c>
      <c r="AG217" s="140">
        <v>0</v>
      </c>
      <c r="AH217" s="9">
        <v>0</v>
      </c>
      <c r="AI217" s="10" t="s">
        <v>126</v>
      </c>
      <c r="AJ217" s="10"/>
      <c r="AK217" s="29"/>
      <c r="AL217" s="12">
        <v>1</v>
      </c>
      <c r="AM217" s="10"/>
      <c r="AN217" s="12">
        <f>FAR[[#This Row],[Opening RUL]]+FAR[[#This Row],[RUL Adjustment]]</f>
        <v>1</v>
      </c>
      <c r="AO217" s="12">
        <f>FAR[[#This Row],[Opening RUL 30 June 2026]]-1</f>
        <v>0</v>
      </c>
      <c r="AP217" s="12" t="s">
        <v>1050</v>
      </c>
      <c r="AQ217" s="139"/>
      <c r="AR217" s="10" t="s">
        <v>127</v>
      </c>
      <c r="AS217" s="13">
        <v>6091.15</v>
      </c>
      <c r="AT217" s="13"/>
      <c r="AU217" s="13">
        <v>0</v>
      </c>
      <c r="AV217" s="13">
        <v>0</v>
      </c>
      <c r="AW217" s="13">
        <v>0</v>
      </c>
      <c r="AX217" s="13">
        <v>6091.15</v>
      </c>
      <c r="AY217" s="13">
        <v>338.3972222222219</v>
      </c>
      <c r="AZ217" s="13">
        <v>0</v>
      </c>
      <c r="BA217" s="13"/>
      <c r="BB217" s="13"/>
      <c r="BC217" s="13">
        <v>-5752.7527777777777</v>
      </c>
      <c r="BD217" s="13"/>
      <c r="BE217" s="13" t="s">
        <v>114</v>
      </c>
      <c r="BF217" s="29"/>
      <c r="BG217" s="13"/>
      <c r="BH217" s="13">
        <f>-FAR[[#This Row],[Carrying value (opening balance)]]/FAR[[#This Row],[Opening RUL 30 June 2026]]</f>
        <v>-338.3972222222219</v>
      </c>
      <c r="BI217" s="13">
        <f>FAR[[#This Row],[Depreciation YTD]]/12</f>
        <v>-28.199768518518493</v>
      </c>
      <c r="BJ217" s="13"/>
      <c r="BK217" s="13" t="s">
        <v>116</v>
      </c>
      <c r="BL217" s="13">
        <v>0</v>
      </c>
      <c r="BM217" s="13">
        <f>FAR[[#This Row],[Accumulated depreciation (Opening balance)]]+FAR[[#This Row],[Depreciation YTD]]+FAR[[#This Row],[Derecognitions (acc dep) '[+']]]</f>
        <v>-6091.15</v>
      </c>
      <c r="BN217" s="13"/>
      <c r="BO217" s="13"/>
      <c r="BP217" s="13"/>
      <c r="BQ217" s="13"/>
      <c r="BR21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17" s="13">
        <f>FAR[[#This Row],[Cost Price (closing balance)]]+FAR[[#This Row],[Accumulated depreciation (Closing balance)]]+FAR[[#This Row],[Accumulated impairments (Closing balance)]]</f>
        <v>0</v>
      </c>
      <c r="BT217" s="13"/>
      <c r="BU217" s="13"/>
      <c r="BV217" s="13"/>
      <c r="BW217" s="10" t="s">
        <v>167</v>
      </c>
      <c r="BX217" s="9" t="s">
        <v>168</v>
      </c>
      <c r="BY217" s="10"/>
      <c r="BZ217" t="s">
        <v>961</v>
      </c>
      <c r="CA217"/>
      <c r="CB217" s="34"/>
      <c r="CC217" s="34"/>
      <c r="CD217" s="34"/>
      <c r="CE217" s="141"/>
    </row>
    <row r="218" spans="1:83">
      <c r="A218" s="35" t="s">
        <v>388</v>
      </c>
      <c r="B218" s="9" t="s">
        <v>869</v>
      </c>
      <c r="C218" s="9" t="s">
        <v>54</v>
      </c>
      <c r="D218" s="10" t="s">
        <v>1</v>
      </c>
      <c r="E218" s="9" t="s">
        <v>115</v>
      </c>
      <c r="F218" s="36" t="s">
        <v>99</v>
      </c>
      <c r="G218" s="9" t="s">
        <v>100</v>
      </c>
      <c r="H218" s="3" t="s">
        <v>128</v>
      </c>
      <c r="I218" s="9" t="s">
        <v>100</v>
      </c>
      <c r="J218" s="36" t="s">
        <v>101</v>
      </c>
      <c r="K218" s="10" t="s">
        <v>559</v>
      </c>
      <c r="L218" s="10" t="s">
        <v>559</v>
      </c>
      <c r="M218" s="9" t="s">
        <v>100</v>
      </c>
      <c r="N218" s="10" t="s">
        <v>522</v>
      </c>
      <c r="O218" s="9" t="s">
        <v>100</v>
      </c>
      <c r="P218" s="10"/>
      <c r="Q218" s="10" t="s">
        <v>522</v>
      </c>
      <c r="R218" s="10" t="s">
        <v>119</v>
      </c>
      <c r="S218" s="10" t="s">
        <v>130</v>
      </c>
      <c r="T218" s="10" t="s">
        <v>120</v>
      </c>
      <c r="U218" s="10" t="s">
        <v>101</v>
      </c>
      <c r="V218" s="10" t="s">
        <v>121</v>
      </c>
      <c r="W218" s="10" t="s">
        <v>122</v>
      </c>
      <c r="X218" s="10" t="s">
        <v>123</v>
      </c>
      <c r="Y218" s="29">
        <v>1</v>
      </c>
      <c r="Z218" s="138" t="s">
        <v>591</v>
      </c>
      <c r="AA218" s="138">
        <v>38174</v>
      </c>
      <c r="AB218" s="9" t="s">
        <v>114</v>
      </c>
      <c r="AC218" s="9" t="s">
        <v>124</v>
      </c>
      <c r="AD218" s="15">
        <v>44651</v>
      </c>
      <c r="AE218" s="39" t="s">
        <v>125</v>
      </c>
      <c r="AF218" s="177">
        <v>6</v>
      </c>
      <c r="AG218" s="140">
        <v>0</v>
      </c>
      <c r="AH218" s="9">
        <v>0</v>
      </c>
      <c r="AI218" s="10" t="s">
        <v>126</v>
      </c>
      <c r="AJ218" s="10"/>
      <c r="AK218" s="29"/>
      <c r="AL218" s="12">
        <v>1</v>
      </c>
      <c r="AM218" s="10"/>
      <c r="AN218" s="12">
        <f>FAR[[#This Row],[Opening RUL]]+FAR[[#This Row],[RUL Adjustment]]</f>
        <v>1</v>
      </c>
      <c r="AO218" s="12">
        <f>FAR[[#This Row],[Opening RUL 30 June 2026]]-1</f>
        <v>0</v>
      </c>
      <c r="AP218" s="12" t="s">
        <v>1050</v>
      </c>
      <c r="AQ218" s="139"/>
      <c r="AR218" s="10" t="s">
        <v>127</v>
      </c>
      <c r="AS218" s="13">
        <v>1516.2</v>
      </c>
      <c r="AT218" s="13"/>
      <c r="AU218" s="13">
        <v>0</v>
      </c>
      <c r="AV218" s="13">
        <v>0</v>
      </c>
      <c r="AW218" s="13">
        <v>0</v>
      </c>
      <c r="AX218" s="13">
        <v>1516.2</v>
      </c>
      <c r="AY218" s="13">
        <v>84.233333333333348</v>
      </c>
      <c r="AZ218" s="13">
        <v>0</v>
      </c>
      <c r="BA218" s="13"/>
      <c r="BB218" s="13"/>
      <c r="BC218" s="13">
        <v>-1431.9666666666667</v>
      </c>
      <c r="BD218" s="13"/>
      <c r="BE218" s="13" t="s">
        <v>114</v>
      </c>
      <c r="BF218" s="29"/>
      <c r="BG218" s="13"/>
      <c r="BH218" s="13">
        <f>-FAR[[#This Row],[Carrying value (opening balance)]]/FAR[[#This Row],[Opening RUL 30 June 2026]]</f>
        <v>-84.233333333333348</v>
      </c>
      <c r="BI218" s="13">
        <f>FAR[[#This Row],[Depreciation YTD]]/12</f>
        <v>-7.0194444444444457</v>
      </c>
      <c r="BJ218" s="13"/>
      <c r="BK218" s="13" t="s">
        <v>116</v>
      </c>
      <c r="BL218" s="13">
        <v>0</v>
      </c>
      <c r="BM218" s="13">
        <f>FAR[[#This Row],[Accumulated depreciation (Opening balance)]]+FAR[[#This Row],[Depreciation YTD]]+FAR[[#This Row],[Derecognitions (acc dep) '[+']]]</f>
        <v>-1516.2</v>
      </c>
      <c r="BN218" s="13"/>
      <c r="BO218" s="13"/>
      <c r="BP218" s="13"/>
      <c r="BQ218" s="13"/>
      <c r="BR21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18" s="13">
        <f>FAR[[#This Row],[Cost Price (closing balance)]]+FAR[[#This Row],[Accumulated depreciation (Closing balance)]]+FAR[[#This Row],[Accumulated impairments (Closing balance)]]</f>
        <v>0</v>
      </c>
      <c r="BT218" s="13"/>
      <c r="BU218" s="13"/>
      <c r="BV218" s="13"/>
      <c r="BW218" s="10" t="s">
        <v>167</v>
      </c>
      <c r="BX218" s="9" t="s">
        <v>168</v>
      </c>
      <c r="BY218" s="10"/>
      <c r="BZ218" t="s">
        <v>952</v>
      </c>
      <c r="CA218"/>
      <c r="CB218" s="34"/>
      <c r="CC218" s="34"/>
      <c r="CD218" s="34"/>
      <c r="CE218" s="141"/>
    </row>
    <row r="219" spans="1:83">
      <c r="A219" s="35" t="s">
        <v>389</v>
      </c>
      <c r="B219" s="9" t="s">
        <v>864</v>
      </c>
      <c r="C219" s="9" t="s">
        <v>54</v>
      </c>
      <c r="D219" s="10" t="s">
        <v>1</v>
      </c>
      <c r="E219" s="9" t="s">
        <v>115</v>
      </c>
      <c r="F219" s="36" t="s">
        <v>99</v>
      </c>
      <c r="G219" s="9" t="s">
        <v>100</v>
      </c>
      <c r="H219" s="3" t="s">
        <v>128</v>
      </c>
      <c r="I219" s="9" t="s">
        <v>100</v>
      </c>
      <c r="J219" s="36" t="s">
        <v>101</v>
      </c>
      <c r="K219" s="10" t="s">
        <v>559</v>
      </c>
      <c r="L219" s="10" t="s">
        <v>559</v>
      </c>
      <c r="M219" s="9" t="s">
        <v>100</v>
      </c>
      <c r="N219" s="10" t="s">
        <v>526</v>
      </c>
      <c r="O219" s="9" t="s">
        <v>100</v>
      </c>
      <c r="P219" s="10"/>
      <c r="Q219" s="10" t="s">
        <v>526</v>
      </c>
      <c r="R219" s="10" t="s">
        <v>119</v>
      </c>
      <c r="S219" s="10" t="s">
        <v>130</v>
      </c>
      <c r="T219" s="10" t="s">
        <v>120</v>
      </c>
      <c r="U219" s="10" t="s">
        <v>101</v>
      </c>
      <c r="V219" s="10" t="s">
        <v>121</v>
      </c>
      <c r="W219" s="10" t="s">
        <v>122</v>
      </c>
      <c r="X219" s="10" t="s">
        <v>123</v>
      </c>
      <c r="Y219" s="29">
        <v>1</v>
      </c>
      <c r="Z219" s="138" t="s">
        <v>561</v>
      </c>
      <c r="AA219" s="138">
        <v>38071</v>
      </c>
      <c r="AB219" s="9" t="s">
        <v>114</v>
      </c>
      <c r="AC219" s="9" t="s">
        <v>124</v>
      </c>
      <c r="AD219" s="15">
        <v>44651</v>
      </c>
      <c r="AE219" s="39" t="s">
        <v>125</v>
      </c>
      <c r="AF219" s="177">
        <v>6</v>
      </c>
      <c r="AG219" s="140">
        <v>0</v>
      </c>
      <c r="AH219" s="9">
        <v>0</v>
      </c>
      <c r="AI219" s="10" t="s">
        <v>126</v>
      </c>
      <c r="AJ219" s="10"/>
      <c r="AK219" s="29"/>
      <c r="AL219" s="12">
        <v>1</v>
      </c>
      <c r="AM219" s="10"/>
      <c r="AN219" s="12">
        <f>FAR[[#This Row],[Opening RUL]]+FAR[[#This Row],[RUL Adjustment]]</f>
        <v>1</v>
      </c>
      <c r="AO219" s="12">
        <f>FAR[[#This Row],[Opening RUL 30 June 2026]]-1</f>
        <v>0</v>
      </c>
      <c r="AP219" s="12" t="s">
        <v>1050</v>
      </c>
      <c r="AQ219" s="139"/>
      <c r="AR219" s="10" t="s">
        <v>127</v>
      </c>
      <c r="AS219" s="13">
        <v>6091.15</v>
      </c>
      <c r="AT219" s="13"/>
      <c r="AU219" s="13">
        <v>0</v>
      </c>
      <c r="AV219" s="13">
        <v>0</v>
      </c>
      <c r="AW219" s="13">
        <v>0</v>
      </c>
      <c r="AX219" s="13">
        <v>6091.15</v>
      </c>
      <c r="AY219" s="13">
        <v>338.3972222222219</v>
      </c>
      <c r="AZ219" s="13">
        <v>0</v>
      </c>
      <c r="BA219" s="13"/>
      <c r="BB219" s="13"/>
      <c r="BC219" s="13">
        <v>-5752.7527777777777</v>
      </c>
      <c r="BD219" s="13"/>
      <c r="BE219" s="13" t="s">
        <v>114</v>
      </c>
      <c r="BF219" s="29"/>
      <c r="BG219" s="13"/>
      <c r="BH219" s="13">
        <f>-FAR[[#This Row],[Carrying value (opening balance)]]/FAR[[#This Row],[Opening RUL 30 June 2026]]</f>
        <v>-338.3972222222219</v>
      </c>
      <c r="BI219" s="13">
        <f>FAR[[#This Row],[Depreciation YTD]]/12</f>
        <v>-28.199768518518493</v>
      </c>
      <c r="BJ219" s="13"/>
      <c r="BK219" s="13" t="s">
        <v>116</v>
      </c>
      <c r="BL219" s="13">
        <v>0</v>
      </c>
      <c r="BM219" s="13">
        <f>FAR[[#This Row],[Accumulated depreciation (Opening balance)]]+FAR[[#This Row],[Depreciation YTD]]+FAR[[#This Row],[Derecognitions (acc dep) '[+']]]</f>
        <v>-6091.15</v>
      </c>
      <c r="BN219" s="13"/>
      <c r="BO219" s="13"/>
      <c r="BP219" s="13"/>
      <c r="BQ219" s="13"/>
      <c r="BR21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19" s="13">
        <f>FAR[[#This Row],[Cost Price (closing balance)]]+FAR[[#This Row],[Accumulated depreciation (Closing balance)]]+FAR[[#This Row],[Accumulated impairments (Closing balance)]]</f>
        <v>0</v>
      </c>
      <c r="BT219" s="13"/>
      <c r="BU219" s="13"/>
      <c r="BV219" s="13"/>
      <c r="BW219" s="10" t="s">
        <v>167</v>
      </c>
      <c r="BX219" s="9" t="s">
        <v>168</v>
      </c>
      <c r="BY219" s="10"/>
      <c r="BZ219" t="s">
        <v>948</v>
      </c>
      <c r="CA219"/>
      <c r="CB219" s="34"/>
      <c r="CC219" s="34"/>
      <c r="CD219" s="34"/>
      <c r="CE219" s="141"/>
    </row>
    <row r="220" spans="1:83">
      <c r="A220" s="35" t="s">
        <v>390</v>
      </c>
      <c r="B220" s="9" t="s">
        <v>874</v>
      </c>
      <c r="C220" s="9" t="s">
        <v>54</v>
      </c>
      <c r="D220" s="10" t="s">
        <v>1</v>
      </c>
      <c r="E220" s="9" t="s">
        <v>115</v>
      </c>
      <c r="F220" s="36" t="s">
        <v>99</v>
      </c>
      <c r="G220" s="9" t="s">
        <v>100</v>
      </c>
      <c r="H220" s="3" t="s">
        <v>128</v>
      </c>
      <c r="I220" s="9" t="s">
        <v>100</v>
      </c>
      <c r="J220" s="36" t="s">
        <v>101</v>
      </c>
      <c r="K220" s="10" t="s">
        <v>559</v>
      </c>
      <c r="L220" s="10" t="s">
        <v>559</v>
      </c>
      <c r="M220" s="9" t="s">
        <v>100</v>
      </c>
      <c r="N220" s="10" t="s">
        <v>527</v>
      </c>
      <c r="O220" s="9" t="s">
        <v>100</v>
      </c>
      <c r="P220" s="10"/>
      <c r="Q220" s="10" t="s">
        <v>527</v>
      </c>
      <c r="R220" s="10" t="s">
        <v>119</v>
      </c>
      <c r="S220" s="10" t="s">
        <v>130</v>
      </c>
      <c r="T220" s="10" t="s">
        <v>120</v>
      </c>
      <c r="U220" s="10" t="s">
        <v>101</v>
      </c>
      <c r="V220" s="10" t="s">
        <v>121</v>
      </c>
      <c r="W220" s="10" t="s">
        <v>122</v>
      </c>
      <c r="X220" s="10" t="s">
        <v>123</v>
      </c>
      <c r="Y220" s="29">
        <v>1</v>
      </c>
      <c r="Z220" s="138" t="s">
        <v>579</v>
      </c>
      <c r="AA220" s="138">
        <v>40025</v>
      </c>
      <c r="AB220" s="9" t="s">
        <v>114</v>
      </c>
      <c r="AC220" s="9" t="s">
        <v>124</v>
      </c>
      <c r="AD220" s="15">
        <v>44651</v>
      </c>
      <c r="AE220" s="39" t="s">
        <v>125</v>
      </c>
      <c r="AF220" s="177">
        <v>6</v>
      </c>
      <c r="AG220" s="140">
        <v>0</v>
      </c>
      <c r="AH220" s="9">
        <v>0</v>
      </c>
      <c r="AI220" s="10" t="s">
        <v>126</v>
      </c>
      <c r="AJ220" s="10"/>
      <c r="AK220" s="29"/>
      <c r="AL220" s="12">
        <v>1</v>
      </c>
      <c r="AM220" s="10"/>
      <c r="AN220" s="12">
        <f>FAR[[#This Row],[Opening RUL]]+FAR[[#This Row],[RUL Adjustment]]</f>
        <v>1</v>
      </c>
      <c r="AO220" s="12">
        <f>FAR[[#This Row],[Opening RUL 30 June 2026]]-1</f>
        <v>0</v>
      </c>
      <c r="AP220" s="12" t="s">
        <v>1050</v>
      </c>
      <c r="AQ220" s="139"/>
      <c r="AR220" s="10" t="s">
        <v>127</v>
      </c>
      <c r="AS220" s="13">
        <v>5130</v>
      </c>
      <c r="AT220" s="13"/>
      <c r="AU220" s="13">
        <v>0</v>
      </c>
      <c r="AV220" s="13">
        <v>0</v>
      </c>
      <c r="AW220" s="13">
        <v>0</v>
      </c>
      <c r="AX220" s="13">
        <v>5130</v>
      </c>
      <c r="AY220" s="13">
        <v>285</v>
      </c>
      <c r="AZ220" s="13">
        <v>0</v>
      </c>
      <c r="BA220" s="13"/>
      <c r="BB220" s="13"/>
      <c r="BC220" s="13">
        <v>-4845</v>
      </c>
      <c r="BD220" s="13"/>
      <c r="BE220" s="13" t="s">
        <v>114</v>
      </c>
      <c r="BF220" s="29"/>
      <c r="BG220" s="13"/>
      <c r="BH220" s="13">
        <f>-FAR[[#This Row],[Carrying value (opening balance)]]/FAR[[#This Row],[Opening RUL 30 June 2026]]</f>
        <v>-285</v>
      </c>
      <c r="BI220" s="13">
        <f>FAR[[#This Row],[Depreciation YTD]]/12</f>
        <v>-23.75</v>
      </c>
      <c r="BJ220" s="13"/>
      <c r="BK220" s="13" t="s">
        <v>116</v>
      </c>
      <c r="BL220" s="13">
        <v>0</v>
      </c>
      <c r="BM220" s="13">
        <f>FAR[[#This Row],[Accumulated depreciation (Opening balance)]]+FAR[[#This Row],[Depreciation YTD]]+FAR[[#This Row],[Derecognitions (acc dep) '[+']]]</f>
        <v>-5130</v>
      </c>
      <c r="BN220" s="13"/>
      <c r="BO220" s="13"/>
      <c r="BP220" s="13"/>
      <c r="BQ220" s="13"/>
      <c r="BR22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20" s="13">
        <f>FAR[[#This Row],[Cost Price (closing balance)]]+FAR[[#This Row],[Accumulated depreciation (Closing balance)]]+FAR[[#This Row],[Accumulated impairments (Closing balance)]]</f>
        <v>0</v>
      </c>
      <c r="BT220" s="13"/>
      <c r="BU220" s="13"/>
      <c r="BV220" s="13"/>
      <c r="BW220" s="10" t="s">
        <v>167</v>
      </c>
      <c r="BX220" s="9" t="s">
        <v>168</v>
      </c>
      <c r="BY220" s="10"/>
      <c r="BZ220" t="s">
        <v>959</v>
      </c>
      <c r="CA220"/>
      <c r="CB220" s="34"/>
      <c r="CC220" s="34"/>
      <c r="CD220" s="34"/>
      <c r="CE220" s="141"/>
    </row>
    <row r="221" spans="1:83">
      <c r="A221" s="35" t="s">
        <v>391</v>
      </c>
      <c r="B221" s="9" t="s">
        <v>865</v>
      </c>
      <c r="C221" s="9" t="s">
        <v>54</v>
      </c>
      <c r="D221" s="10" t="s">
        <v>1</v>
      </c>
      <c r="E221" s="9" t="s">
        <v>115</v>
      </c>
      <c r="F221" s="36" t="s">
        <v>99</v>
      </c>
      <c r="G221" s="9" t="s">
        <v>100</v>
      </c>
      <c r="H221" s="3" t="s">
        <v>128</v>
      </c>
      <c r="I221" s="9" t="s">
        <v>100</v>
      </c>
      <c r="J221" s="36" t="s">
        <v>101</v>
      </c>
      <c r="K221" s="10" t="s">
        <v>559</v>
      </c>
      <c r="L221" s="10" t="s">
        <v>559</v>
      </c>
      <c r="M221" s="9" t="s">
        <v>100</v>
      </c>
      <c r="N221" s="10" t="s">
        <v>528</v>
      </c>
      <c r="O221" s="9" t="s">
        <v>100</v>
      </c>
      <c r="P221" s="10"/>
      <c r="Q221" s="10" t="s">
        <v>528</v>
      </c>
      <c r="R221" s="10" t="s">
        <v>119</v>
      </c>
      <c r="S221" s="10" t="s">
        <v>130</v>
      </c>
      <c r="T221" s="10" t="s">
        <v>120</v>
      </c>
      <c r="U221" s="10" t="s">
        <v>101</v>
      </c>
      <c r="V221" s="10" t="s">
        <v>121</v>
      </c>
      <c r="W221" s="10" t="s">
        <v>122</v>
      </c>
      <c r="X221" s="10" t="s">
        <v>123</v>
      </c>
      <c r="Y221" s="29">
        <v>1</v>
      </c>
      <c r="Z221" s="138" t="s">
        <v>592</v>
      </c>
      <c r="AA221" s="138">
        <v>42125</v>
      </c>
      <c r="AB221" s="9" t="s">
        <v>114</v>
      </c>
      <c r="AC221" s="9" t="s">
        <v>124</v>
      </c>
      <c r="AD221" s="15">
        <v>44651</v>
      </c>
      <c r="AE221" s="39" t="s">
        <v>125</v>
      </c>
      <c r="AF221" s="177">
        <v>6</v>
      </c>
      <c r="AG221" s="140">
        <v>0</v>
      </c>
      <c r="AH221" s="9">
        <v>0</v>
      </c>
      <c r="AI221" s="10" t="s">
        <v>126</v>
      </c>
      <c r="AJ221" s="10"/>
      <c r="AK221" s="29"/>
      <c r="AL221" s="12">
        <v>1</v>
      </c>
      <c r="AM221" s="10"/>
      <c r="AN221" s="12">
        <f>FAR[[#This Row],[Opening RUL]]+FAR[[#This Row],[RUL Adjustment]]</f>
        <v>1</v>
      </c>
      <c r="AO221" s="12">
        <f>FAR[[#This Row],[Opening RUL 30 June 2026]]-1</f>
        <v>0</v>
      </c>
      <c r="AP221" s="12" t="s">
        <v>1050</v>
      </c>
      <c r="AQ221" s="139"/>
      <c r="AR221" s="10" t="s">
        <v>127</v>
      </c>
      <c r="AS221" s="13">
        <v>3967.2</v>
      </c>
      <c r="AT221" s="13"/>
      <c r="AU221" s="13">
        <v>0</v>
      </c>
      <c r="AV221" s="13">
        <v>0</v>
      </c>
      <c r="AW221" s="13">
        <v>0</v>
      </c>
      <c r="AX221" s="13">
        <v>3967.2</v>
      </c>
      <c r="AY221" s="13">
        <v>220.39999999999964</v>
      </c>
      <c r="AZ221" s="13">
        <v>0</v>
      </c>
      <c r="BA221" s="13"/>
      <c r="BB221" s="13"/>
      <c r="BC221" s="13">
        <v>-3746.8</v>
      </c>
      <c r="BD221" s="13"/>
      <c r="BE221" s="13" t="s">
        <v>114</v>
      </c>
      <c r="BF221" s="29"/>
      <c r="BG221" s="13"/>
      <c r="BH221" s="13">
        <f>-FAR[[#This Row],[Carrying value (opening balance)]]/FAR[[#This Row],[Opening RUL 30 June 2026]]</f>
        <v>-220.39999999999964</v>
      </c>
      <c r="BI221" s="13">
        <f>FAR[[#This Row],[Depreciation YTD]]/12</f>
        <v>-18.366666666666635</v>
      </c>
      <c r="BJ221" s="13"/>
      <c r="BK221" s="13" t="s">
        <v>116</v>
      </c>
      <c r="BL221" s="13">
        <v>0</v>
      </c>
      <c r="BM221" s="13">
        <f>FAR[[#This Row],[Accumulated depreciation (Opening balance)]]+FAR[[#This Row],[Depreciation YTD]]+FAR[[#This Row],[Derecognitions (acc dep) '[+']]]</f>
        <v>-3967.2</v>
      </c>
      <c r="BN221" s="13"/>
      <c r="BO221" s="13"/>
      <c r="BP221" s="13"/>
      <c r="BQ221" s="13"/>
      <c r="BR22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21" s="13">
        <f>FAR[[#This Row],[Cost Price (closing balance)]]+FAR[[#This Row],[Accumulated depreciation (Closing balance)]]+FAR[[#This Row],[Accumulated impairments (Closing balance)]]</f>
        <v>0</v>
      </c>
      <c r="BT221" s="13"/>
      <c r="BU221" s="13"/>
      <c r="BV221" s="13"/>
      <c r="BW221" s="10" t="s">
        <v>167</v>
      </c>
      <c r="BX221" s="9" t="s">
        <v>168</v>
      </c>
      <c r="BY221" s="10"/>
      <c r="BZ221" t="s">
        <v>938</v>
      </c>
      <c r="CA221"/>
      <c r="CB221" s="34"/>
      <c r="CC221" s="34"/>
      <c r="CD221" s="34"/>
      <c r="CE221" s="141"/>
    </row>
    <row r="222" spans="1:83">
      <c r="A222" s="35" t="s">
        <v>392</v>
      </c>
      <c r="B222" s="9">
        <v>0</v>
      </c>
      <c r="C222" s="9" t="s">
        <v>54</v>
      </c>
      <c r="D222" s="10" t="s">
        <v>1</v>
      </c>
      <c r="E222" s="9" t="s">
        <v>115</v>
      </c>
      <c r="F222" s="36" t="s">
        <v>99</v>
      </c>
      <c r="G222" s="9" t="s">
        <v>100</v>
      </c>
      <c r="H222" s="3" t="s">
        <v>128</v>
      </c>
      <c r="I222" s="9" t="s">
        <v>100</v>
      </c>
      <c r="J222" s="36" t="s">
        <v>101</v>
      </c>
      <c r="K222" s="10" t="s">
        <v>559</v>
      </c>
      <c r="L222" s="10" t="s">
        <v>559</v>
      </c>
      <c r="M222" s="9" t="s">
        <v>100</v>
      </c>
      <c r="N222" s="10" t="s">
        <v>529</v>
      </c>
      <c r="O222" s="9" t="s">
        <v>100</v>
      </c>
      <c r="P222" s="10"/>
      <c r="Q222" s="10" t="s">
        <v>529</v>
      </c>
      <c r="R222" s="10" t="s">
        <v>119</v>
      </c>
      <c r="S222" s="10" t="s">
        <v>130</v>
      </c>
      <c r="T222" s="10" t="s">
        <v>120</v>
      </c>
      <c r="U222" s="10" t="s">
        <v>101</v>
      </c>
      <c r="V222" s="10" t="s">
        <v>121</v>
      </c>
      <c r="W222" s="10" t="s">
        <v>122</v>
      </c>
      <c r="X222" s="10" t="s">
        <v>123</v>
      </c>
      <c r="Y222" s="29">
        <v>1</v>
      </c>
      <c r="Z222" s="138" t="s">
        <v>593</v>
      </c>
      <c r="AA222" s="138">
        <v>42270</v>
      </c>
      <c r="AB222" s="9" t="s">
        <v>114</v>
      </c>
      <c r="AC222" s="9" t="s">
        <v>124</v>
      </c>
      <c r="AD222" s="15">
        <v>44651</v>
      </c>
      <c r="AE222" s="39" t="s">
        <v>125</v>
      </c>
      <c r="AF222" s="177">
        <v>6</v>
      </c>
      <c r="AG222" s="140">
        <v>0</v>
      </c>
      <c r="AH222" s="9">
        <v>0</v>
      </c>
      <c r="AI222" s="10" t="s">
        <v>126</v>
      </c>
      <c r="AJ222" s="10"/>
      <c r="AK222" s="29"/>
      <c r="AL222" s="12">
        <v>1</v>
      </c>
      <c r="AM222" s="10"/>
      <c r="AN222" s="12">
        <f>FAR[[#This Row],[Opening RUL]]+FAR[[#This Row],[RUL Adjustment]]</f>
        <v>1</v>
      </c>
      <c r="AO222" s="12">
        <f>FAR[[#This Row],[Opening RUL 30 June 2026]]-1</f>
        <v>0</v>
      </c>
      <c r="AP222" s="12">
        <v>0</v>
      </c>
      <c r="AQ222" s="139"/>
      <c r="AR222" s="10" t="s">
        <v>127</v>
      </c>
      <c r="AS222" s="13">
        <v>28428.53</v>
      </c>
      <c r="AT222" s="13"/>
      <c r="AU222" s="13">
        <v>0</v>
      </c>
      <c r="AV222" s="13">
        <v>0</v>
      </c>
      <c r="AW222" s="13">
        <v>0</v>
      </c>
      <c r="AX222" s="13">
        <v>28428.53</v>
      </c>
      <c r="AY222" s="13">
        <v>1579.3627777777801</v>
      </c>
      <c r="AZ222" s="13">
        <v>0</v>
      </c>
      <c r="BA222" s="13"/>
      <c r="BB222" s="13"/>
      <c r="BC222" s="13">
        <v>-26849.167222222219</v>
      </c>
      <c r="BD222" s="13"/>
      <c r="BE222" s="13" t="s">
        <v>114</v>
      </c>
      <c r="BF222" s="29"/>
      <c r="BG222" s="13"/>
      <c r="BH222" s="13">
        <f>-FAR[[#This Row],[Carrying value (opening balance)]]/FAR[[#This Row],[Opening RUL 30 June 2026]]</f>
        <v>-1579.3627777777801</v>
      </c>
      <c r="BI222" s="13">
        <f>FAR[[#This Row],[Depreciation YTD]]/12</f>
        <v>-131.61356481481502</v>
      </c>
      <c r="BJ222" s="13"/>
      <c r="BK222" s="13" t="s">
        <v>116</v>
      </c>
      <c r="BL222" s="13">
        <v>0</v>
      </c>
      <c r="BM222" s="13">
        <f>FAR[[#This Row],[Accumulated depreciation (Opening balance)]]+FAR[[#This Row],[Depreciation YTD]]+FAR[[#This Row],[Derecognitions (acc dep) '[+']]]</f>
        <v>-28428.53</v>
      </c>
      <c r="BN222" s="13"/>
      <c r="BO222" s="13"/>
      <c r="BP222" s="13"/>
      <c r="BQ222" s="13"/>
      <c r="BR22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22" s="13">
        <f>FAR[[#This Row],[Cost Price (closing balance)]]+FAR[[#This Row],[Accumulated depreciation (Closing balance)]]+FAR[[#This Row],[Accumulated impairments (Closing balance)]]</f>
        <v>0</v>
      </c>
      <c r="BT222" s="13"/>
      <c r="BU222" s="13"/>
      <c r="BV222" s="13"/>
      <c r="BW222" s="10" t="s">
        <v>167</v>
      </c>
      <c r="BX222" s="9" t="s">
        <v>168</v>
      </c>
      <c r="BY222" s="10"/>
      <c r="BZ222">
        <v>0</v>
      </c>
      <c r="CA222"/>
      <c r="CB222" s="34"/>
      <c r="CC222" s="34"/>
      <c r="CD222" s="34"/>
      <c r="CE222" s="141"/>
    </row>
    <row r="223" spans="1:83">
      <c r="A223" s="35" t="s">
        <v>393</v>
      </c>
      <c r="B223" s="9" t="s">
        <v>890</v>
      </c>
      <c r="C223" s="9" t="s">
        <v>54</v>
      </c>
      <c r="D223" s="10" t="s">
        <v>1</v>
      </c>
      <c r="E223" s="9" t="s">
        <v>115</v>
      </c>
      <c r="F223" s="36" t="s">
        <v>99</v>
      </c>
      <c r="G223" s="9" t="s">
        <v>100</v>
      </c>
      <c r="H223" s="3" t="s">
        <v>128</v>
      </c>
      <c r="I223" s="9" t="s">
        <v>100</v>
      </c>
      <c r="J223" s="36" t="s">
        <v>101</v>
      </c>
      <c r="K223" s="10" t="s">
        <v>559</v>
      </c>
      <c r="L223" s="10" t="s">
        <v>559</v>
      </c>
      <c r="M223" s="9" t="s">
        <v>100</v>
      </c>
      <c r="N223" s="10" t="s">
        <v>530</v>
      </c>
      <c r="O223" s="9" t="s">
        <v>100</v>
      </c>
      <c r="P223" s="10"/>
      <c r="Q223" s="10" t="s">
        <v>530</v>
      </c>
      <c r="R223" s="10" t="s">
        <v>119</v>
      </c>
      <c r="S223" s="10" t="s">
        <v>130</v>
      </c>
      <c r="T223" s="10" t="s">
        <v>120</v>
      </c>
      <c r="U223" s="10" t="s">
        <v>101</v>
      </c>
      <c r="V223" s="10" t="s">
        <v>121</v>
      </c>
      <c r="W223" s="10" t="s">
        <v>122</v>
      </c>
      <c r="X223" s="10" t="s">
        <v>123</v>
      </c>
      <c r="Y223" s="29">
        <v>1</v>
      </c>
      <c r="Z223" s="138" t="s">
        <v>593</v>
      </c>
      <c r="AA223" s="138">
        <v>42270</v>
      </c>
      <c r="AB223" s="9" t="s">
        <v>114</v>
      </c>
      <c r="AC223" s="9" t="s">
        <v>124</v>
      </c>
      <c r="AD223" s="15">
        <v>44651</v>
      </c>
      <c r="AE223" s="39" t="s">
        <v>125</v>
      </c>
      <c r="AF223" s="177">
        <v>6</v>
      </c>
      <c r="AG223" s="140">
        <v>0</v>
      </c>
      <c r="AH223" s="9">
        <v>0</v>
      </c>
      <c r="AI223" s="10" t="s">
        <v>126</v>
      </c>
      <c r="AJ223" s="10"/>
      <c r="AK223" s="29"/>
      <c r="AL223" s="12">
        <v>1</v>
      </c>
      <c r="AM223" s="10"/>
      <c r="AN223" s="12">
        <f>FAR[[#This Row],[Opening RUL]]+FAR[[#This Row],[RUL Adjustment]]</f>
        <v>1</v>
      </c>
      <c r="AO223" s="12">
        <f>FAR[[#This Row],[Opening RUL 30 June 2026]]-1</f>
        <v>0</v>
      </c>
      <c r="AP223" s="12" t="s">
        <v>1050</v>
      </c>
      <c r="AQ223" s="139"/>
      <c r="AR223" s="10" t="s">
        <v>127</v>
      </c>
      <c r="AS223" s="13">
        <v>9669.02</v>
      </c>
      <c r="AT223" s="13"/>
      <c r="AU223" s="13">
        <v>0</v>
      </c>
      <c r="AV223" s="13">
        <v>0</v>
      </c>
      <c r="AW223" s="13">
        <v>0</v>
      </c>
      <c r="AX223" s="13">
        <v>9669.02</v>
      </c>
      <c r="AY223" s="13">
        <v>537.16777777777679</v>
      </c>
      <c r="AZ223" s="13">
        <v>0</v>
      </c>
      <c r="BA223" s="13"/>
      <c r="BB223" s="13"/>
      <c r="BC223" s="13">
        <v>-9131.8522222222236</v>
      </c>
      <c r="BD223" s="13"/>
      <c r="BE223" s="13" t="s">
        <v>114</v>
      </c>
      <c r="BF223" s="29"/>
      <c r="BG223" s="13"/>
      <c r="BH223" s="13">
        <f>-FAR[[#This Row],[Carrying value (opening balance)]]/FAR[[#This Row],[Opening RUL 30 June 2026]]</f>
        <v>-537.16777777777679</v>
      </c>
      <c r="BI223" s="13">
        <f>FAR[[#This Row],[Depreciation YTD]]/12</f>
        <v>-44.763981481481402</v>
      </c>
      <c r="BJ223" s="13"/>
      <c r="BK223" s="13" t="s">
        <v>116</v>
      </c>
      <c r="BL223" s="13">
        <v>0</v>
      </c>
      <c r="BM223" s="13">
        <f>FAR[[#This Row],[Accumulated depreciation (Opening balance)]]+FAR[[#This Row],[Depreciation YTD]]+FAR[[#This Row],[Derecognitions (acc dep) '[+']]]</f>
        <v>-9669.02</v>
      </c>
      <c r="BN223" s="13"/>
      <c r="BO223" s="13"/>
      <c r="BP223" s="13"/>
      <c r="BQ223" s="13"/>
      <c r="BR22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23" s="13">
        <f>FAR[[#This Row],[Cost Price (closing balance)]]+FAR[[#This Row],[Accumulated depreciation (Closing balance)]]+FAR[[#This Row],[Accumulated impairments (Closing balance)]]</f>
        <v>0</v>
      </c>
      <c r="BT223" s="13"/>
      <c r="BU223" s="13"/>
      <c r="BV223" s="13"/>
      <c r="BW223" s="10" t="s">
        <v>167</v>
      </c>
      <c r="BX223" s="9" t="s">
        <v>168</v>
      </c>
      <c r="BY223" s="10"/>
      <c r="BZ223" t="s">
        <v>940</v>
      </c>
      <c r="CA223"/>
      <c r="CB223" s="34"/>
      <c r="CC223" s="34"/>
      <c r="CD223" s="34"/>
      <c r="CE223" s="141"/>
    </row>
    <row r="224" spans="1:83">
      <c r="A224" s="35" t="s">
        <v>394</v>
      </c>
      <c r="B224" s="9" t="s">
        <v>912</v>
      </c>
      <c r="C224" s="9" t="s">
        <v>54</v>
      </c>
      <c r="D224" s="10" t="s">
        <v>1</v>
      </c>
      <c r="E224" s="9" t="s">
        <v>115</v>
      </c>
      <c r="F224" s="36" t="s">
        <v>99</v>
      </c>
      <c r="G224" s="9" t="s">
        <v>100</v>
      </c>
      <c r="H224" s="3" t="s">
        <v>128</v>
      </c>
      <c r="I224" s="9" t="s">
        <v>100</v>
      </c>
      <c r="J224" s="36" t="s">
        <v>101</v>
      </c>
      <c r="K224" s="10" t="s">
        <v>559</v>
      </c>
      <c r="L224" s="10" t="s">
        <v>559</v>
      </c>
      <c r="M224" s="9" t="s">
        <v>100</v>
      </c>
      <c r="N224" s="10" t="s">
        <v>531</v>
      </c>
      <c r="O224" s="9" t="s">
        <v>100</v>
      </c>
      <c r="P224" s="10"/>
      <c r="Q224" s="10" t="s">
        <v>531</v>
      </c>
      <c r="R224" s="10" t="s">
        <v>119</v>
      </c>
      <c r="S224" s="10" t="s">
        <v>130</v>
      </c>
      <c r="T224" s="10" t="s">
        <v>120</v>
      </c>
      <c r="U224" s="10" t="s">
        <v>101</v>
      </c>
      <c r="V224" s="10" t="s">
        <v>121</v>
      </c>
      <c r="W224" s="10" t="s">
        <v>122</v>
      </c>
      <c r="X224" s="10" t="s">
        <v>123</v>
      </c>
      <c r="Y224" s="29">
        <v>1</v>
      </c>
      <c r="Z224" s="138" t="s">
        <v>593</v>
      </c>
      <c r="AA224" s="138">
        <v>42270</v>
      </c>
      <c r="AB224" s="9" t="s">
        <v>114</v>
      </c>
      <c r="AC224" s="9" t="s">
        <v>124</v>
      </c>
      <c r="AD224" s="15">
        <v>44651</v>
      </c>
      <c r="AE224" s="39" t="s">
        <v>125</v>
      </c>
      <c r="AF224" s="177">
        <v>6</v>
      </c>
      <c r="AG224" s="140">
        <v>0</v>
      </c>
      <c r="AH224" s="9">
        <v>0</v>
      </c>
      <c r="AI224" s="10" t="s">
        <v>126</v>
      </c>
      <c r="AJ224" s="10"/>
      <c r="AK224" s="29"/>
      <c r="AL224" s="12">
        <v>1</v>
      </c>
      <c r="AM224" s="10"/>
      <c r="AN224" s="12">
        <f>FAR[[#This Row],[Opening RUL]]+FAR[[#This Row],[RUL Adjustment]]</f>
        <v>1</v>
      </c>
      <c r="AO224" s="12">
        <f>FAR[[#This Row],[Opening RUL 30 June 2026]]-1</f>
        <v>0</v>
      </c>
      <c r="AP224" s="12" t="s">
        <v>1050</v>
      </c>
      <c r="AQ224" s="139"/>
      <c r="AR224" s="10" t="s">
        <v>127</v>
      </c>
      <c r="AS224" s="13">
        <v>3956.8</v>
      </c>
      <c r="AT224" s="13"/>
      <c r="AU224" s="13">
        <v>0</v>
      </c>
      <c r="AV224" s="13">
        <v>0</v>
      </c>
      <c r="AW224" s="13">
        <v>0</v>
      </c>
      <c r="AX224" s="13">
        <v>3956.8</v>
      </c>
      <c r="AY224" s="13">
        <v>219.82222222222208</v>
      </c>
      <c r="AZ224" s="13">
        <v>0</v>
      </c>
      <c r="BA224" s="13"/>
      <c r="BB224" s="13"/>
      <c r="BC224" s="13">
        <v>-3736.9777777777781</v>
      </c>
      <c r="BD224" s="13"/>
      <c r="BE224" s="13" t="s">
        <v>114</v>
      </c>
      <c r="BF224" s="29"/>
      <c r="BG224" s="13"/>
      <c r="BH224" s="13">
        <f>-FAR[[#This Row],[Carrying value (opening balance)]]/FAR[[#This Row],[Opening RUL 30 June 2026]]</f>
        <v>-219.82222222222208</v>
      </c>
      <c r="BI224" s="13">
        <f>FAR[[#This Row],[Depreciation YTD]]/12</f>
        <v>-18.318518518518506</v>
      </c>
      <c r="BJ224" s="13"/>
      <c r="BK224" s="13" t="s">
        <v>116</v>
      </c>
      <c r="BL224" s="13">
        <v>0</v>
      </c>
      <c r="BM224" s="13">
        <f>FAR[[#This Row],[Accumulated depreciation (Opening balance)]]+FAR[[#This Row],[Depreciation YTD]]+FAR[[#This Row],[Derecognitions (acc dep) '[+']]]</f>
        <v>-3956.8</v>
      </c>
      <c r="BN224" s="13"/>
      <c r="BO224" s="13"/>
      <c r="BP224" s="13"/>
      <c r="BQ224" s="13"/>
      <c r="BR22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24" s="13">
        <f>FAR[[#This Row],[Cost Price (closing balance)]]+FAR[[#This Row],[Accumulated depreciation (Closing balance)]]+FAR[[#This Row],[Accumulated impairments (Closing balance)]]</f>
        <v>0</v>
      </c>
      <c r="BT224" s="13"/>
      <c r="BU224" s="13"/>
      <c r="BV224" s="13"/>
      <c r="BW224" s="10" t="s">
        <v>167</v>
      </c>
      <c r="BX224" s="9" t="s">
        <v>168</v>
      </c>
      <c r="BY224" s="10"/>
      <c r="BZ224" t="s">
        <v>940</v>
      </c>
      <c r="CA224"/>
      <c r="CB224" s="34"/>
      <c r="CC224" s="34"/>
      <c r="CD224" s="34"/>
      <c r="CE224" s="141"/>
    </row>
    <row r="225" spans="1:83">
      <c r="A225" s="35" t="s">
        <v>395</v>
      </c>
      <c r="B225" s="9" t="s">
        <v>913</v>
      </c>
      <c r="C225" s="9" t="s">
        <v>54</v>
      </c>
      <c r="D225" s="10" t="s">
        <v>1</v>
      </c>
      <c r="E225" s="9" t="s">
        <v>115</v>
      </c>
      <c r="F225" s="36" t="s">
        <v>99</v>
      </c>
      <c r="G225" s="9" t="s">
        <v>100</v>
      </c>
      <c r="H225" s="3" t="s">
        <v>128</v>
      </c>
      <c r="I225" s="9" t="s">
        <v>100</v>
      </c>
      <c r="J225" s="36" t="s">
        <v>101</v>
      </c>
      <c r="K225" s="10" t="s">
        <v>559</v>
      </c>
      <c r="L225" s="10" t="s">
        <v>559</v>
      </c>
      <c r="M225" s="9" t="s">
        <v>100</v>
      </c>
      <c r="N225" s="10" t="s">
        <v>531</v>
      </c>
      <c r="O225" s="9" t="s">
        <v>100</v>
      </c>
      <c r="P225" s="10"/>
      <c r="Q225" s="10" t="s">
        <v>531</v>
      </c>
      <c r="R225" s="10" t="s">
        <v>119</v>
      </c>
      <c r="S225" s="10" t="s">
        <v>130</v>
      </c>
      <c r="T225" s="10" t="s">
        <v>120</v>
      </c>
      <c r="U225" s="10" t="s">
        <v>101</v>
      </c>
      <c r="V225" s="10" t="s">
        <v>121</v>
      </c>
      <c r="W225" s="10" t="s">
        <v>122</v>
      </c>
      <c r="X225" s="10" t="s">
        <v>123</v>
      </c>
      <c r="Y225" s="29">
        <v>1</v>
      </c>
      <c r="Z225" s="138" t="s">
        <v>593</v>
      </c>
      <c r="AA225" s="138">
        <v>42270</v>
      </c>
      <c r="AB225" s="9" t="s">
        <v>114</v>
      </c>
      <c r="AC225" s="9" t="s">
        <v>124</v>
      </c>
      <c r="AD225" s="15">
        <v>44651</v>
      </c>
      <c r="AE225" s="39" t="s">
        <v>125</v>
      </c>
      <c r="AF225" s="177">
        <v>6</v>
      </c>
      <c r="AG225" s="140">
        <v>0</v>
      </c>
      <c r="AH225" s="9">
        <v>0</v>
      </c>
      <c r="AI225" s="10" t="s">
        <v>126</v>
      </c>
      <c r="AJ225" s="10"/>
      <c r="AK225" s="29"/>
      <c r="AL225" s="12">
        <v>1</v>
      </c>
      <c r="AM225" s="10"/>
      <c r="AN225" s="12">
        <f>FAR[[#This Row],[Opening RUL]]+FAR[[#This Row],[RUL Adjustment]]</f>
        <v>1</v>
      </c>
      <c r="AO225" s="12">
        <f>FAR[[#This Row],[Opening RUL 30 June 2026]]-1</f>
        <v>0</v>
      </c>
      <c r="AP225" s="12" t="s">
        <v>1051</v>
      </c>
      <c r="AQ225" s="139"/>
      <c r="AR225" s="10" t="s">
        <v>127</v>
      </c>
      <c r="AS225" s="13">
        <v>3956.8</v>
      </c>
      <c r="AT225" s="13"/>
      <c r="AU225" s="13">
        <v>0</v>
      </c>
      <c r="AV225" s="13">
        <v>0</v>
      </c>
      <c r="AW225" s="13">
        <v>0</v>
      </c>
      <c r="AX225" s="13">
        <v>3956.8</v>
      </c>
      <c r="AY225" s="13">
        <v>219.82222222222208</v>
      </c>
      <c r="AZ225" s="13">
        <v>0</v>
      </c>
      <c r="BA225" s="13"/>
      <c r="BB225" s="13"/>
      <c r="BC225" s="13">
        <v>-3736.9777777777781</v>
      </c>
      <c r="BD225" s="13"/>
      <c r="BE225" s="13" t="s">
        <v>114</v>
      </c>
      <c r="BF225" s="29"/>
      <c r="BG225" s="13"/>
      <c r="BH225" s="13">
        <f>-FAR[[#This Row],[Carrying value (opening balance)]]/FAR[[#This Row],[Opening RUL 30 June 2026]]</f>
        <v>-219.82222222222208</v>
      </c>
      <c r="BI225" s="13">
        <f>FAR[[#This Row],[Depreciation YTD]]/12</f>
        <v>-18.318518518518506</v>
      </c>
      <c r="BJ225" s="13"/>
      <c r="BK225" s="13" t="s">
        <v>116</v>
      </c>
      <c r="BL225" s="13">
        <v>0</v>
      </c>
      <c r="BM225" s="13">
        <f>FAR[[#This Row],[Accumulated depreciation (Opening balance)]]+FAR[[#This Row],[Depreciation YTD]]+FAR[[#This Row],[Derecognitions (acc dep) '[+']]]</f>
        <v>-3956.8</v>
      </c>
      <c r="BN225" s="13"/>
      <c r="BO225" s="13"/>
      <c r="BP225" s="13"/>
      <c r="BQ225" s="13"/>
      <c r="BR22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25" s="13">
        <f>FAR[[#This Row],[Cost Price (closing balance)]]+FAR[[#This Row],[Accumulated depreciation (Closing balance)]]+FAR[[#This Row],[Accumulated impairments (Closing balance)]]</f>
        <v>0</v>
      </c>
      <c r="BT225" s="13"/>
      <c r="BU225" s="13"/>
      <c r="BV225" s="13"/>
      <c r="BW225" s="10" t="s">
        <v>167</v>
      </c>
      <c r="BX225" s="9" t="s">
        <v>168</v>
      </c>
      <c r="BY225" s="10"/>
      <c r="BZ225" t="s">
        <v>940</v>
      </c>
      <c r="CA225"/>
      <c r="CB225" s="34"/>
      <c r="CC225" s="34"/>
      <c r="CD225" s="34"/>
      <c r="CE225" s="141"/>
    </row>
    <row r="226" spans="1:83">
      <c r="A226" s="35" t="s">
        <v>396</v>
      </c>
      <c r="B226" s="9" t="s">
        <v>869</v>
      </c>
      <c r="C226" s="9" t="s">
        <v>54</v>
      </c>
      <c r="D226" s="10" t="s">
        <v>1</v>
      </c>
      <c r="E226" s="9" t="s">
        <v>115</v>
      </c>
      <c r="F226" s="36" t="s">
        <v>99</v>
      </c>
      <c r="G226" s="9" t="s">
        <v>100</v>
      </c>
      <c r="H226" s="3" t="s">
        <v>128</v>
      </c>
      <c r="I226" s="9" t="s">
        <v>100</v>
      </c>
      <c r="J226" s="36" t="s">
        <v>101</v>
      </c>
      <c r="K226" s="10" t="s">
        <v>559</v>
      </c>
      <c r="L226" s="10" t="s">
        <v>559</v>
      </c>
      <c r="M226" s="9" t="s">
        <v>100</v>
      </c>
      <c r="N226" s="10" t="s">
        <v>532</v>
      </c>
      <c r="O226" s="9" t="s">
        <v>100</v>
      </c>
      <c r="P226" s="10"/>
      <c r="Q226" s="10" t="s">
        <v>532</v>
      </c>
      <c r="R226" s="10" t="s">
        <v>119</v>
      </c>
      <c r="S226" s="10" t="s">
        <v>130</v>
      </c>
      <c r="T226" s="10" t="s">
        <v>120</v>
      </c>
      <c r="U226" s="10" t="s">
        <v>101</v>
      </c>
      <c r="V226" s="10" t="s">
        <v>121</v>
      </c>
      <c r="W226" s="10" t="s">
        <v>122</v>
      </c>
      <c r="X226" s="10" t="s">
        <v>123</v>
      </c>
      <c r="Y226" s="29">
        <v>1</v>
      </c>
      <c r="Z226" s="138" t="s">
        <v>593</v>
      </c>
      <c r="AA226" s="138">
        <v>42270</v>
      </c>
      <c r="AB226" s="9" t="s">
        <v>114</v>
      </c>
      <c r="AC226" s="9" t="s">
        <v>124</v>
      </c>
      <c r="AD226" s="15">
        <v>44651</v>
      </c>
      <c r="AE226" s="39" t="s">
        <v>125</v>
      </c>
      <c r="AF226" s="177">
        <v>6</v>
      </c>
      <c r="AG226" s="140">
        <v>0</v>
      </c>
      <c r="AH226" s="9">
        <v>0</v>
      </c>
      <c r="AI226" s="10" t="s">
        <v>126</v>
      </c>
      <c r="AJ226" s="10"/>
      <c r="AK226" s="29"/>
      <c r="AL226" s="12">
        <v>1</v>
      </c>
      <c r="AM226" s="10"/>
      <c r="AN226" s="12">
        <f>FAR[[#This Row],[Opening RUL]]+FAR[[#This Row],[RUL Adjustment]]</f>
        <v>1</v>
      </c>
      <c r="AO226" s="12">
        <f>FAR[[#This Row],[Opening RUL 30 June 2026]]-1</f>
        <v>0</v>
      </c>
      <c r="AP226" s="12" t="s">
        <v>1050</v>
      </c>
      <c r="AQ226" s="139"/>
      <c r="AR226" s="10" t="s">
        <v>127</v>
      </c>
      <c r="AS226" s="13">
        <v>2278.86</v>
      </c>
      <c r="AT226" s="13"/>
      <c r="AU226" s="13">
        <v>0</v>
      </c>
      <c r="AV226" s="13">
        <v>0</v>
      </c>
      <c r="AW226" s="13">
        <v>0</v>
      </c>
      <c r="AX226" s="13">
        <v>2278.86</v>
      </c>
      <c r="AY226" s="13">
        <v>126.60333333333347</v>
      </c>
      <c r="AZ226" s="13">
        <v>0</v>
      </c>
      <c r="BA226" s="13"/>
      <c r="BB226" s="13"/>
      <c r="BC226" s="13">
        <v>-2152.2566666666667</v>
      </c>
      <c r="BD226" s="13"/>
      <c r="BE226" s="13" t="s">
        <v>114</v>
      </c>
      <c r="BF226" s="29"/>
      <c r="BG226" s="13"/>
      <c r="BH226" s="13">
        <f>-FAR[[#This Row],[Carrying value (opening balance)]]/FAR[[#This Row],[Opening RUL 30 June 2026]]</f>
        <v>-126.60333333333347</v>
      </c>
      <c r="BI226" s="13">
        <f>FAR[[#This Row],[Depreciation YTD]]/12</f>
        <v>-10.550277777777788</v>
      </c>
      <c r="BJ226" s="13"/>
      <c r="BK226" s="13" t="s">
        <v>116</v>
      </c>
      <c r="BL226" s="13">
        <v>0</v>
      </c>
      <c r="BM226" s="13">
        <f>FAR[[#This Row],[Accumulated depreciation (Opening balance)]]+FAR[[#This Row],[Depreciation YTD]]+FAR[[#This Row],[Derecognitions (acc dep) '[+']]]</f>
        <v>-2278.86</v>
      </c>
      <c r="BN226" s="13"/>
      <c r="BO226" s="13"/>
      <c r="BP226" s="13"/>
      <c r="BQ226" s="13"/>
      <c r="BR22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26" s="13">
        <f>FAR[[#This Row],[Cost Price (closing balance)]]+FAR[[#This Row],[Accumulated depreciation (Closing balance)]]+FAR[[#This Row],[Accumulated impairments (Closing balance)]]</f>
        <v>0</v>
      </c>
      <c r="BT226" s="13"/>
      <c r="BU226" s="13"/>
      <c r="BV226" s="13"/>
      <c r="BW226" s="10" t="s">
        <v>167</v>
      </c>
      <c r="BX226" s="9" t="s">
        <v>168</v>
      </c>
      <c r="BY226" s="10"/>
      <c r="BZ226" t="s">
        <v>952</v>
      </c>
      <c r="CA226"/>
      <c r="CB226" s="34"/>
      <c r="CC226" s="34"/>
      <c r="CD226" s="34"/>
      <c r="CE226" s="141"/>
    </row>
    <row r="227" spans="1:83">
      <c r="A227" s="35" t="s">
        <v>397</v>
      </c>
      <c r="B227" s="9" t="s">
        <v>890</v>
      </c>
      <c r="C227" s="9" t="s">
        <v>54</v>
      </c>
      <c r="D227" s="10" t="s">
        <v>1</v>
      </c>
      <c r="E227" s="9" t="s">
        <v>115</v>
      </c>
      <c r="F227" s="36" t="s">
        <v>99</v>
      </c>
      <c r="G227" s="9" t="s">
        <v>100</v>
      </c>
      <c r="H227" s="3" t="s">
        <v>128</v>
      </c>
      <c r="I227" s="9" t="s">
        <v>100</v>
      </c>
      <c r="J227" s="36" t="s">
        <v>101</v>
      </c>
      <c r="K227" s="10" t="s">
        <v>559</v>
      </c>
      <c r="L227" s="10" t="s">
        <v>559</v>
      </c>
      <c r="M227" s="9" t="s">
        <v>100</v>
      </c>
      <c r="N227" s="10" t="s">
        <v>532</v>
      </c>
      <c r="O227" s="9" t="s">
        <v>100</v>
      </c>
      <c r="P227" s="10"/>
      <c r="Q227" s="10" t="s">
        <v>532</v>
      </c>
      <c r="R227" s="10" t="s">
        <v>119</v>
      </c>
      <c r="S227" s="10" t="s">
        <v>130</v>
      </c>
      <c r="T227" s="10" t="s">
        <v>120</v>
      </c>
      <c r="U227" s="10" t="s">
        <v>101</v>
      </c>
      <c r="V227" s="10" t="s">
        <v>121</v>
      </c>
      <c r="W227" s="10" t="s">
        <v>122</v>
      </c>
      <c r="X227" s="10" t="s">
        <v>123</v>
      </c>
      <c r="Y227" s="29">
        <v>1</v>
      </c>
      <c r="Z227" s="138" t="s">
        <v>593</v>
      </c>
      <c r="AA227" s="138">
        <v>42270</v>
      </c>
      <c r="AB227" s="9" t="s">
        <v>114</v>
      </c>
      <c r="AC227" s="9" t="s">
        <v>124</v>
      </c>
      <c r="AD227" s="15">
        <v>44651</v>
      </c>
      <c r="AE227" s="39" t="s">
        <v>125</v>
      </c>
      <c r="AF227" s="177">
        <v>6</v>
      </c>
      <c r="AG227" s="140">
        <v>0</v>
      </c>
      <c r="AH227" s="9">
        <v>0</v>
      </c>
      <c r="AI227" s="10" t="s">
        <v>126</v>
      </c>
      <c r="AJ227" s="10"/>
      <c r="AK227" s="29"/>
      <c r="AL227" s="12">
        <v>1</v>
      </c>
      <c r="AM227" s="10"/>
      <c r="AN227" s="12">
        <f>FAR[[#This Row],[Opening RUL]]+FAR[[#This Row],[RUL Adjustment]]</f>
        <v>1</v>
      </c>
      <c r="AO227" s="12">
        <f>FAR[[#This Row],[Opening RUL 30 June 2026]]-1</f>
        <v>0</v>
      </c>
      <c r="AP227" s="12" t="s">
        <v>1050</v>
      </c>
      <c r="AQ227" s="139"/>
      <c r="AR227" s="10" t="s">
        <v>127</v>
      </c>
      <c r="AS227" s="13">
        <v>2278.86</v>
      </c>
      <c r="AT227" s="13"/>
      <c r="AU227" s="13">
        <v>0</v>
      </c>
      <c r="AV227" s="13">
        <v>0</v>
      </c>
      <c r="AW227" s="13">
        <v>0</v>
      </c>
      <c r="AX227" s="13">
        <v>2278.86</v>
      </c>
      <c r="AY227" s="13">
        <v>126.60333333333347</v>
      </c>
      <c r="AZ227" s="13">
        <v>0</v>
      </c>
      <c r="BA227" s="13"/>
      <c r="BB227" s="13"/>
      <c r="BC227" s="13">
        <v>-2152.2566666666667</v>
      </c>
      <c r="BD227" s="13"/>
      <c r="BE227" s="13" t="s">
        <v>114</v>
      </c>
      <c r="BF227" s="29"/>
      <c r="BG227" s="13"/>
      <c r="BH227" s="13">
        <f>-FAR[[#This Row],[Carrying value (opening balance)]]/FAR[[#This Row],[Opening RUL 30 June 2026]]</f>
        <v>-126.60333333333347</v>
      </c>
      <c r="BI227" s="13">
        <f>FAR[[#This Row],[Depreciation YTD]]/12</f>
        <v>-10.550277777777788</v>
      </c>
      <c r="BJ227" s="13"/>
      <c r="BK227" s="13" t="s">
        <v>116</v>
      </c>
      <c r="BL227" s="13">
        <v>0</v>
      </c>
      <c r="BM227" s="13">
        <f>FAR[[#This Row],[Accumulated depreciation (Opening balance)]]+FAR[[#This Row],[Depreciation YTD]]+FAR[[#This Row],[Derecognitions (acc dep) '[+']]]</f>
        <v>-2278.86</v>
      </c>
      <c r="BN227" s="13"/>
      <c r="BO227" s="13"/>
      <c r="BP227" s="13"/>
      <c r="BQ227" s="13"/>
      <c r="BR22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27" s="13">
        <f>FAR[[#This Row],[Cost Price (closing balance)]]+FAR[[#This Row],[Accumulated depreciation (Closing balance)]]+FAR[[#This Row],[Accumulated impairments (Closing balance)]]</f>
        <v>0</v>
      </c>
      <c r="BT227" s="13"/>
      <c r="BU227" s="13"/>
      <c r="BV227" s="13"/>
      <c r="BW227" s="10" t="s">
        <v>167</v>
      </c>
      <c r="BX227" s="9" t="s">
        <v>168</v>
      </c>
      <c r="BY227" s="10"/>
      <c r="BZ227" t="s">
        <v>940</v>
      </c>
      <c r="CA227"/>
      <c r="CB227" s="34"/>
      <c r="CC227" s="34"/>
      <c r="CD227" s="34"/>
      <c r="CE227" s="141"/>
    </row>
    <row r="228" spans="1:83">
      <c r="A228" s="35" t="s">
        <v>398</v>
      </c>
      <c r="B228" s="9" t="s">
        <v>913</v>
      </c>
      <c r="C228" s="9" t="s">
        <v>54</v>
      </c>
      <c r="D228" s="10" t="s">
        <v>1</v>
      </c>
      <c r="E228" s="9" t="s">
        <v>115</v>
      </c>
      <c r="F228" s="36" t="s">
        <v>99</v>
      </c>
      <c r="G228" s="9" t="s">
        <v>100</v>
      </c>
      <c r="H228" s="3" t="s">
        <v>128</v>
      </c>
      <c r="I228" s="9" t="s">
        <v>100</v>
      </c>
      <c r="J228" s="36" t="s">
        <v>101</v>
      </c>
      <c r="K228" s="10" t="s">
        <v>559</v>
      </c>
      <c r="L228" s="10" t="s">
        <v>559</v>
      </c>
      <c r="M228" s="9" t="s">
        <v>100</v>
      </c>
      <c r="N228" s="10" t="s">
        <v>532</v>
      </c>
      <c r="O228" s="9" t="s">
        <v>100</v>
      </c>
      <c r="P228" s="10"/>
      <c r="Q228" s="10" t="s">
        <v>532</v>
      </c>
      <c r="R228" s="10" t="s">
        <v>119</v>
      </c>
      <c r="S228" s="10" t="s">
        <v>130</v>
      </c>
      <c r="T228" s="10" t="s">
        <v>120</v>
      </c>
      <c r="U228" s="10" t="s">
        <v>101</v>
      </c>
      <c r="V228" s="10" t="s">
        <v>121</v>
      </c>
      <c r="W228" s="10" t="s">
        <v>122</v>
      </c>
      <c r="X228" s="10" t="s">
        <v>123</v>
      </c>
      <c r="Y228" s="29">
        <v>1</v>
      </c>
      <c r="Z228" s="138" t="s">
        <v>593</v>
      </c>
      <c r="AA228" s="138">
        <v>42270</v>
      </c>
      <c r="AB228" s="9" t="s">
        <v>114</v>
      </c>
      <c r="AC228" s="9" t="s">
        <v>124</v>
      </c>
      <c r="AD228" s="15">
        <v>44651</v>
      </c>
      <c r="AE228" s="39" t="s">
        <v>125</v>
      </c>
      <c r="AF228" s="177">
        <v>6</v>
      </c>
      <c r="AG228" s="140">
        <v>0</v>
      </c>
      <c r="AH228" s="9">
        <v>0</v>
      </c>
      <c r="AI228" s="10" t="s">
        <v>126</v>
      </c>
      <c r="AJ228" s="10"/>
      <c r="AK228" s="29"/>
      <c r="AL228" s="12">
        <v>1</v>
      </c>
      <c r="AM228" s="10"/>
      <c r="AN228" s="12">
        <f>FAR[[#This Row],[Opening RUL]]+FAR[[#This Row],[RUL Adjustment]]</f>
        <v>1</v>
      </c>
      <c r="AO228" s="12">
        <f>FAR[[#This Row],[Opening RUL 30 June 2026]]-1</f>
        <v>0</v>
      </c>
      <c r="AP228" s="12" t="s">
        <v>1050</v>
      </c>
      <c r="AQ228" s="139"/>
      <c r="AR228" s="10" t="s">
        <v>127</v>
      </c>
      <c r="AS228" s="13">
        <v>2278.86</v>
      </c>
      <c r="AT228" s="13"/>
      <c r="AU228" s="13">
        <v>0</v>
      </c>
      <c r="AV228" s="13">
        <v>0</v>
      </c>
      <c r="AW228" s="13">
        <v>0</v>
      </c>
      <c r="AX228" s="13">
        <v>2278.86</v>
      </c>
      <c r="AY228" s="13">
        <v>126.60333333333347</v>
      </c>
      <c r="AZ228" s="13">
        <v>0</v>
      </c>
      <c r="BA228" s="13"/>
      <c r="BB228" s="13"/>
      <c r="BC228" s="13">
        <v>-2152.2566666666667</v>
      </c>
      <c r="BD228" s="13"/>
      <c r="BE228" s="13" t="s">
        <v>114</v>
      </c>
      <c r="BF228" s="29"/>
      <c r="BG228" s="13"/>
      <c r="BH228" s="13">
        <f>-FAR[[#This Row],[Carrying value (opening balance)]]/FAR[[#This Row],[Opening RUL 30 June 2026]]</f>
        <v>-126.60333333333347</v>
      </c>
      <c r="BI228" s="13">
        <f>FAR[[#This Row],[Depreciation YTD]]/12</f>
        <v>-10.550277777777788</v>
      </c>
      <c r="BJ228" s="13"/>
      <c r="BK228" s="13" t="s">
        <v>116</v>
      </c>
      <c r="BL228" s="13">
        <v>0</v>
      </c>
      <c r="BM228" s="13">
        <f>FAR[[#This Row],[Accumulated depreciation (Opening balance)]]+FAR[[#This Row],[Depreciation YTD]]+FAR[[#This Row],[Derecognitions (acc dep) '[+']]]</f>
        <v>-2278.86</v>
      </c>
      <c r="BN228" s="13"/>
      <c r="BO228" s="13"/>
      <c r="BP228" s="13"/>
      <c r="BQ228" s="13"/>
      <c r="BR22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28" s="13">
        <f>FAR[[#This Row],[Cost Price (closing balance)]]+FAR[[#This Row],[Accumulated depreciation (Closing balance)]]+FAR[[#This Row],[Accumulated impairments (Closing balance)]]</f>
        <v>0</v>
      </c>
      <c r="BT228" s="13"/>
      <c r="BU228" s="13"/>
      <c r="BV228" s="13"/>
      <c r="BW228" s="10" t="s">
        <v>167</v>
      </c>
      <c r="BX228" s="9" t="s">
        <v>168</v>
      </c>
      <c r="BY228" s="10"/>
      <c r="BZ228" t="s">
        <v>940</v>
      </c>
      <c r="CA228"/>
      <c r="CB228" s="34"/>
      <c r="CC228" s="34"/>
      <c r="CD228" s="34"/>
      <c r="CE228" s="141"/>
    </row>
    <row r="229" spans="1:83">
      <c r="A229" s="35" t="s">
        <v>399</v>
      </c>
      <c r="B229" s="9" t="s">
        <v>912</v>
      </c>
      <c r="C229" s="9" t="s">
        <v>54</v>
      </c>
      <c r="D229" s="10" t="s">
        <v>1</v>
      </c>
      <c r="E229" s="9" t="s">
        <v>115</v>
      </c>
      <c r="F229" s="36" t="s">
        <v>99</v>
      </c>
      <c r="G229" s="9" t="s">
        <v>100</v>
      </c>
      <c r="H229" s="3" t="s">
        <v>128</v>
      </c>
      <c r="I229" s="9" t="s">
        <v>100</v>
      </c>
      <c r="J229" s="36" t="s">
        <v>101</v>
      </c>
      <c r="K229" s="10" t="s">
        <v>559</v>
      </c>
      <c r="L229" s="10" t="s">
        <v>559</v>
      </c>
      <c r="M229" s="9" t="s">
        <v>100</v>
      </c>
      <c r="N229" s="10" t="s">
        <v>532</v>
      </c>
      <c r="O229" s="9" t="s">
        <v>100</v>
      </c>
      <c r="P229" s="10"/>
      <c r="Q229" s="10" t="s">
        <v>532</v>
      </c>
      <c r="R229" s="10" t="s">
        <v>119</v>
      </c>
      <c r="S229" s="10" t="s">
        <v>130</v>
      </c>
      <c r="T229" s="10" t="s">
        <v>120</v>
      </c>
      <c r="U229" s="10" t="s">
        <v>101</v>
      </c>
      <c r="V229" s="10" t="s">
        <v>121</v>
      </c>
      <c r="W229" s="10" t="s">
        <v>122</v>
      </c>
      <c r="X229" s="10" t="s">
        <v>123</v>
      </c>
      <c r="Y229" s="29">
        <v>1</v>
      </c>
      <c r="Z229" s="138" t="s">
        <v>593</v>
      </c>
      <c r="AA229" s="138">
        <v>42270</v>
      </c>
      <c r="AB229" s="9" t="s">
        <v>114</v>
      </c>
      <c r="AC229" s="9" t="s">
        <v>124</v>
      </c>
      <c r="AD229" s="15">
        <v>44651</v>
      </c>
      <c r="AE229" s="39" t="s">
        <v>125</v>
      </c>
      <c r="AF229" s="177">
        <v>6</v>
      </c>
      <c r="AG229" s="140">
        <v>0</v>
      </c>
      <c r="AH229" s="9">
        <v>0</v>
      </c>
      <c r="AI229" s="10" t="s">
        <v>126</v>
      </c>
      <c r="AJ229" s="10"/>
      <c r="AK229" s="29"/>
      <c r="AL229" s="12">
        <v>1</v>
      </c>
      <c r="AM229" s="10"/>
      <c r="AN229" s="12">
        <f>FAR[[#This Row],[Opening RUL]]+FAR[[#This Row],[RUL Adjustment]]</f>
        <v>1</v>
      </c>
      <c r="AO229" s="12">
        <f>FAR[[#This Row],[Opening RUL 30 June 2026]]-1</f>
        <v>0</v>
      </c>
      <c r="AP229" s="12" t="s">
        <v>1050</v>
      </c>
      <c r="AQ229" s="139"/>
      <c r="AR229" s="10" t="s">
        <v>127</v>
      </c>
      <c r="AS229" s="13">
        <v>2278.86</v>
      </c>
      <c r="AT229" s="13"/>
      <c r="AU229" s="13">
        <v>0</v>
      </c>
      <c r="AV229" s="13">
        <v>0</v>
      </c>
      <c r="AW229" s="13">
        <v>0</v>
      </c>
      <c r="AX229" s="13">
        <v>2278.86</v>
      </c>
      <c r="AY229" s="13">
        <v>126.60333333333347</v>
      </c>
      <c r="AZ229" s="13">
        <v>0</v>
      </c>
      <c r="BA229" s="13"/>
      <c r="BB229" s="13"/>
      <c r="BC229" s="13">
        <v>-2152.2566666666667</v>
      </c>
      <c r="BD229" s="13"/>
      <c r="BE229" s="13" t="s">
        <v>114</v>
      </c>
      <c r="BF229" s="29"/>
      <c r="BG229" s="13"/>
      <c r="BH229" s="13">
        <f>-FAR[[#This Row],[Carrying value (opening balance)]]/FAR[[#This Row],[Opening RUL 30 June 2026]]</f>
        <v>-126.60333333333347</v>
      </c>
      <c r="BI229" s="13">
        <f>FAR[[#This Row],[Depreciation YTD]]/12</f>
        <v>-10.550277777777788</v>
      </c>
      <c r="BJ229" s="13"/>
      <c r="BK229" s="13" t="s">
        <v>116</v>
      </c>
      <c r="BL229" s="13">
        <v>0</v>
      </c>
      <c r="BM229" s="13">
        <f>FAR[[#This Row],[Accumulated depreciation (Opening balance)]]+FAR[[#This Row],[Depreciation YTD]]+FAR[[#This Row],[Derecognitions (acc dep) '[+']]]</f>
        <v>-2278.86</v>
      </c>
      <c r="BN229" s="13"/>
      <c r="BO229" s="13"/>
      <c r="BP229" s="13"/>
      <c r="BQ229" s="13"/>
      <c r="BR22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29" s="13">
        <f>FAR[[#This Row],[Cost Price (closing balance)]]+FAR[[#This Row],[Accumulated depreciation (Closing balance)]]+FAR[[#This Row],[Accumulated impairments (Closing balance)]]</f>
        <v>0</v>
      </c>
      <c r="BT229" s="13"/>
      <c r="BU229" s="13"/>
      <c r="BV229" s="13"/>
      <c r="BW229" s="10" t="s">
        <v>167</v>
      </c>
      <c r="BX229" s="9" t="s">
        <v>168</v>
      </c>
      <c r="BY229" s="10"/>
      <c r="BZ229" t="s">
        <v>940</v>
      </c>
      <c r="CA229"/>
      <c r="CB229" s="34"/>
      <c r="CC229" s="34"/>
      <c r="CD229" s="34"/>
      <c r="CE229" s="141"/>
    </row>
    <row r="230" spans="1:83">
      <c r="A230" s="35" t="s">
        <v>400</v>
      </c>
      <c r="B230" s="9" t="s">
        <v>890</v>
      </c>
      <c r="C230" s="9" t="s">
        <v>54</v>
      </c>
      <c r="D230" s="10" t="s">
        <v>1</v>
      </c>
      <c r="E230" s="9" t="s">
        <v>115</v>
      </c>
      <c r="F230" s="36" t="s">
        <v>99</v>
      </c>
      <c r="G230" s="9" t="s">
        <v>100</v>
      </c>
      <c r="H230" s="3" t="s">
        <v>128</v>
      </c>
      <c r="I230" s="9" t="s">
        <v>100</v>
      </c>
      <c r="J230" s="36" t="s">
        <v>101</v>
      </c>
      <c r="K230" s="10" t="s">
        <v>559</v>
      </c>
      <c r="L230" s="10" t="s">
        <v>559</v>
      </c>
      <c r="M230" s="9" t="s">
        <v>100</v>
      </c>
      <c r="N230" s="10" t="s">
        <v>532</v>
      </c>
      <c r="O230" s="9" t="s">
        <v>100</v>
      </c>
      <c r="P230" s="10"/>
      <c r="Q230" s="10" t="s">
        <v>532</v>
      </c>
      <c r="R230" s="10" t="s">
        <v>119</v>
      </c>
      <c r="S230" s="10" t="s">
        <v>130</v>
      </c>
      <c r="T230" s="10" t="s">
        <v>120</v>
      </c>
      <c r="U230" s="10" t="s">
        <v>101</v>
      </c>
      <c r="V230" s="10" t="s">
        <v>121</v>
      </c>
      <c r="W230" s="10" t="s">
        <v>122</v>
      </c>
      <c r="X230" s="10" t="s">
        <v>123</v>
      </c>
      <c r="Y230" s="29">
        <v>1</v>
      </c>
      <c r="Z230" s="138" t="s">
        <v>593</v>
      </c>
      <c r="AA230" s="138">
        <v>42270</v>
      </c>
      <c r="AB230" s="9" t="s">
        <v>114</v>
      </c>
      <c r="AC230" s="9" t="s">
        <v>124</v>
      </c>
      <c r="AD230" s="15">
        <v>44651</v>
      </c>
      <c r="AE230" s="39" t="s">
        <v>125</v>
      </c>
      <c r="AF230" s="177">
        <v>6</v>
      </c>
      <c r="AG230" s="140">
        <v>0</v>
      </c>
      <c r="AH230" s="9">
        <v>0</v>
      </c>
      <c r="AI230" s="10" t="s">
        <v>126</v>
      </c>
      <c r="AJ230" s="10"/>
      <c r="AK230" s="29"/>
      <c r="AL230" s="12">
        <v>1</v>
      </c>
      <c r="AM230" s="10"/>
      <c r="AN230" s="12">
        <f>FAR[[#This Row],[Opening RUL]]+FAR[[#This Row],[RUL Adjustment]]</f>
        <v>1</v>
      </c>
      <c r="AO230" s="12">
        <f>FAR[[#This Row],[Opening RUL 30 June 2026]]-1</f>
        <v>0</v>
      </c>
      <c r="AP230" s="12" t="s">
        <v>1050</v>
      </c>
      <c r="AQ230" s="139"/>
      <c r="AR230" s="10" t="s">
        <v>127</v>
      </c>
      <c r="AS230" s="13">
        <v>2278.86</v>
      </c>
      <c r="AT230" s="13"/>
      <c r="AU230" s="13">
        <v>0</v>
      </c>
      <c r="AV230" s="13">
        <v>0</v>
      </c>
      <c r="AW230" s="13">
        <v>0</v>
      </c>
      <c r="AX230" s="13">
        <v>2278.86</v>
      </c>
      <c r="AY230" s="13">
        <v>126.60333333333347</v>
      </c>
      <c r="AZ230" s="13">
        <v>0</v>
      </c>
      <c r="BA230" s="13"/>
      <c r="BB230" s="13"/>
      <c r="BC230" s="13">
        <v>-2152.2566666666667</v>
      </c>
      <c r="BD230" s="13"/>
      <c r="BE230" s="13" t="s">
        <v>114</v>
      </c>
      <c r="BF230" s="29"/>
      <c r="BG230" s="13"/>
      <c r="BH230" s="13">
        <f>-FAR[[#This Row],[Carrying value (opening balance)]]/FAR[[#This Row],[Opening RUL 30 June 2026]]</f>
        <v>-126.60333333333347</v>
      </c>
      <c r="BI230" s="13">
        <f>FAR[[#This Row],[Depreciation YTD]]/12</f>
        <v>-10.550277777777788</v>
      </c>
      <c r="BJ230" s="13"/>
      <c r="BK230" s="13" t="s">
        <v>116</v>
      </c>
      <c r="BL230" s="13">
        <v>0</v>
      </c>
      <c r="BM230" s="13">
        <f>FAR[[#This Row],[Accumulated depreciation (Opening balance)]]+FAR[[#This Row],[Depreciation YTD]]+FAR[[#This Row],[Derecognitions (acc dep) '[+']]]</f>
        <v>-2278.86</v>
      </c>
      <c r="BN230" s="13"/>
      <c r="BO230" s="13"/>
      <c r="BP230" s="13"/>
      <c r="BQ230" s="13"/>
      <c r="BR23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30" s="13">
        <f>FAR[[#This Row],[Cost Price (closing balance)]]+FAR[[#This Row],[Accumulated depreciation (Closing balance)]]+FAR[[#This Row],[Accumulated impairments (Closing balance)]]</f>
        <v>0</v>
      </c>
      <c r="BT230" s="13"/>
      <c r="BU230" s="13"/>
      <c r="BV230" s="13"/>
      <c r="BW230" s="10" t="s">
        <v>167</v>
      </c>
      <c r="BX230" s="9" t="s">
        <v>168</v>
      </c>
      <c r="BY230" s="10"/>
      <c r="BZ230" t="s">
        <v>940</v>
      </c>
      <c r="CA230"/>
      <c r="CB230" s="34"/>
      <c r="CC230" s="34"/>
      <c r="CD230" s="34"/>
      <c r="CE230" s="141"/>
    </row>
    <row r="231" spans="1:83">
      <c r="A231" s="35" t="s">
        <v>401</v>
      </c>
      <c r="B231" s="9" t="s">
        <v>862</v>
      </c>
      <c r="C231" s="9" t="s">
        <v>54</v>
      </c>
      <c r="D231" s="10" t="s">
        <v>1</v>
      </c>
      <c r="E231" s="9" t="s">
        <v>115</v>
      </c>
      <c r="F231" s="36" t="s">
        <v>99</v>
      </c>
      <c r="G231" s="9" t="s">
        <v>100</v>
      </c>
      <c r="H231" s="3" t="s">
        <v>128</v>
      </c>
      <c r="I231" s="9" t="s">
        <v>100</v>
      </c>
      <c r="J231" s="36" t="s">
        <v>101</v>
      </c>
      <c r="K231" s="10" t="s">
        <v>559</v>
      </c>
      <c r="L231" s="10" t="s">
        <v>559</v>
      </c>
      <c r="M231" s="9" t="s">
        <v>100</v>
      </c>
      <c r="N231" s="10" t="s">
        <v>532</v>
      </c>
      <c r="O231" s="9" t="s">
        <v>100</v>
      </c>
      <c r="P231" s="10"/>
      <c r="Q231" s="10" t="s">
        <v>532</v>
      </c>
      <c r="R231" s="10" t="s">
        <v>119</v>
      </c>
      <c r="S231" s="10" t="s">
        <v>130</v>
      </c>
      <c r="T231" s="10" t="s">
        <v>120</v>
      </c>
      <c r="U231" s="10" t="s">
        <v>101</v>
      </c>
      <c r="V231" s="10" t="s">
        <v>121</v>
      </c>
      <c r="W231" s="10" t="s">
        <v>122</v>
      </c>
      <c r="X231" s="10" t="s">
        <v>123</v>
      </c>
      <c r="Y231" s="29">
        <v>1</v>
      </c>
      <c r="Z231" s="138" t="s">
        <v>593</v>
      </c>
      <c r="AA231" s="138">
        <v>42270</v>
      </c>
      <c r="AB231" s="9" t="s">
        <v>114</v>
      </c>
      <c r="AC231" s="9" t="s">
        <v>124</v>
      </c>
      <c r="AD231" s="15">
        <v>44651</v>
      </c>
      <c r="AE231" s="39" t="s">
        <v>125</v>
      </c>
      <c r="AF231" s="177">
        <v>6</v>
      </c>
      <c r="AG231" s="140">
        <v>0</v>
      </c>
      <c r="AH231" s="9">
        <v>0</v>
      </c>
      <c r="AI231" s="10" t="s">
        <v>126</v>
      </c>
      <c r="AJ231" s="10"/>
      <c r="AK231" s="29"/>
      <c r="AL231" s="12">
        <v>1</v>
      </c>
      <c r="AM231" s="10"/>
      <c r="AN231" s="12">
        <f>FAR[[#This Row],[Opening RUL]]+FAR[[#This Row],[RUL Adjustment]]</f>
        <v>1</v>
      </c>
      <c r="AO231" s="12">
        <f>FAR[[#This Row],[Opening RUL 30 June 2026]]-1</f>
        <v>0</v>
      </c>
      <c r="AP231" s="12" t="s">
        <v>1050</v>
      </c>
      <c r="AQ231" s="139"/>
      <c r="AR231" s="10" t="s">
        <v>127</v>
      </c>
      <c r="AS231" s="13">
        <v>2278.86</v>
      </c>
      <c r="AT231" s="13"/>
      <c r="AU231" s="13">
        <v>0</v>
      </c>
      <c r="AV231" s="13">
        <v>0</v>
      </c>
      <c r="AW231" s="13">
        <v>0</v>
      </c>
      <c r="AX231" s="13">
        <v>2278.86</v>
      </c>
      <c r="AY231" s="13">
        <v>126.60333333333347</v>
      </c>
      <c r="AZ231" s="13">
        <v>0</v>
      </c>
      <c r="BA231" s="13"/>
      <c r="BB231" s="13"/>
      <c r="BC231" s="13">
        <v>-2152.2566666666667</v>
      </c>
      <c r="BD231" s="13"/>
      <c r="BE231" s="13" t="s">
        <v>114</v>
      </c>
      <c r="BF231" s="29"/>
      <c r="BG231" s="13"/>
      <c r="BH231" s="13">
        <f>-FAR[[#This Row],[Carrying value (opening balance)]]/FAR[[#This Row],[Opening RUL 30 June 2026]]</f>
        <v>-126.60333333333347</v>
      </c>
      <c r="BI231" s="13">
        <f>FAR[[#This Row],[Depreciation YTD]]/12</f>
        <v>-10.550277777777788</v>
      </c>
      <c r="BJ231" s="13"/>
      <c r="BK231" s="13" t="s">
        <v>116</v>
      </c>
      <c r="BL231" s="13">
        <v>0</v>
      </c>
      <c r="BM231" s="13">
        <f>FAR[[#This Row],[Accumulated depreciation (Opening balance)]]+FAR[[#This Row],[Depreciation YTD]]+FAR[[#This Row],[Derecognitions (acc dep) '[+']]]</f>
        <v>-2278.86</v>
      </c>
      <c r="BN231" s="13"/>
      <c r="BO231" s="13"/>
      <c r="BP231" s="13"/>
      <c r="BQ231" s="13"/>
      <c r="BR23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31" s="13">
        <f>FAR[[#This Row],[Cost Price (closing balance)]]+FAR[[#This Row],[Accumulated depreciation (Closing balance)]]+FAR[[#This Row],[Accumulated impairments (Closing balance)]]</f>
        <v>0</v>
      </c>
      <c r="BT231" s="13"/>
      <c r="BU231" s="13"/>
      <c r="BV231" s="13"/>
      <c r="BW231" s="10" t="s">
        <v>167</v>
      </c>
      <c r="BX231" s="9" t="s">
        <v>168</v>
      </c>
      <c r="BY231" s="10"/>
      <c r="BZ231" t="s">
        <v>942</v>
      </c>
      <c r="CA231"/>
      <c r="CB231" s="34"/>
      <c r="CC231" s="34"/>
      <c r="CD231" s="34"/>
      <c r="CE231" s="141"/>
    </row>
    <row r="232" spans="1:83">
      <c r="A232" s="35" t="s">
        <v>402</v>
      </c>
      <c r="B232" s="9" t="s">
        <v>913</v>
      </c>
      <c r="C232" s="9" t="s">
        <v>54</v>
      </c>
      <c r="D232" s="10" t="s">
        <v>1</v>
      </c>
      <c r="E232" s="9" t="s">
        <v>115</v>
      </c>
      <c r="F232" s="36" t="s">
        <v>99</v>
      </c>
      <c r="G232" s="9" t="s">
        <v>100</v>
      </c>
      <c r="H232" s="3" t="s">
        <v>128</v>
      </c>
      <c r="I232" s="9" t="s">
        <v>100</v>
      </c>
      <c r="J232" s="36" t="s">
        <v>101</v>
      </c>
      <c r="K232" s="10" t="s">
        <v>559</v>
      </c>
      <c r="L232" s="10" t="s">
        <v>559</v>
      </c>
      <c r="M232" s="9" t="s">
        <v>100</v>
      </c>
      <c r="N232" s="10" t="s">
        <v>532</v>
      </c>
      <c r="O232" s="9" t="s">
        <v>100</v>
      </c>
      <c r="P232" s="10"/>
      <c r="Q232" s="10" t="s">
        <v>532</v>
      </c>
      <c r="R232" s="10" t="s">
        <v>119</v>
      </c>
      <c r="S232" s="10" t="s">
        <v>130</v>
      </c>
      <c r="T232" s="10" t="s">
        <v>120</v>
      </c>
      <c r="U232" s="10" t="s">
        <v>101</v>
      </c>
      <c r="V232" s="10" t="s">
        <v>121</v>
      </c>
      <c r="W232" s="10" t="s">
        <v>122</v>
      </c>
      <c r="X232" s="10" t="s">
        <v>123</v>
      </c>
      <c r="Y232" s="29">
        <v>1</v>
      </c>
      <c r="Z232" s="138" t="s">
        <v>593</v>
      </c>
      <c r="AA232" s="138">
        <v>42270</v>
      </c>
      <c r="AB232" s="9" t="s">
        <v>114</v>
      </c>
      <c r="AC232" s="9" t="s">
        <v>124</v>
      </c>
      <c r="AD232" s="15">
        <v>44651</v>
      </c>
      <c r="AE232" s="39" t="s">
        <v>125</v>
      </c>
      <c r="AF232" s="177">
        <v>6</v>
      </c>
      <c r="AG232" s="140">
        <v>0</v>
      </c>
      <c r="AH232" s="9">
        <v>0</v>
      </c>
      <c r="AI232" s="10" t="s">
        <v>126</v>
      </c>
      <c r="AJ232" s="10"/>
      <c r="AK232" s="29"/>
      <c r="AL232" s="12">
        <v>1</v>
      </c>
      <c r="AM232" s="10"/>
      <c r="AN232" s="12">
        <f>FAR[[#This Row],[Opening RUL]]+FAR[[#This Row],[RUL Adjustment]]</f>
        <v>1</v>
      </c>
      <c r="AO232" s="12">
        <f>FAR[[#This Row],[Opening RUL 30 June 2026]]-1</f>
        <v>0</v>
      </c>
      <c r="AP232" s="12" t="s">
        <v>1050</v>
      </c>
      <c r="AQ232" s="139"/>
      <c r="AR232" s="10" t="s">
        <v>127</v>
      </c>
      <c r="AS232" s="13">
        <v>2278.86</v>
      </c>
      <c r="AT232" s="13"/>
      <c r="AU232" s="13">
        <v>0</v>
      </c>
      <c r="AV232" s="13">
        <v>0</v>
      </c>
      <c r="AW232" s="13">
        <v>0</v>
      </c>
      <c r="AX232" s="13">
        <v>2278.86</v>
      </c>
      <c r="AY232" s="13">
        <v>126.60333333333347</v>
      </c>
      <c r="AZ232" s="13">
        <v>0</v>
      </c>
      <c r="BA232" s="13"/>
      <c r="BB232" s="13"/>
      <c r="BC232" s="13">
        <v>-2152.2566666666667</v>
      </c>
      <c r="BD232" s="13"/>
      <c r="BE232" s="13" t="s">
        <v>114</v>
      </c>
      <c r="BF232" s="29"/>
      <c r="BG232" s="13"/>
      <c r="BH232" s="13">
        <f>-FAR[[#This Row],[Carrying value (opening balance)]]/FAR[[#This Row],[Opening RUL 30 June 2026]]</f>
        <v>-126.60333333333347</v>
      </c>
      <c r="BI232" s="13">
        <f>FAR[[#This Row],[Depreciation YTD]]/12</f>
        <v>-10.550277777777788</v>
      </c>
      <c r="BJ232" s="13"/>
      <c r="BK232" s="13" t="s">
        <v>116</v>
      </c>
      <c r="BL232" s="13">
        <v>0</v>
      </c>
      <c r="BM232" s="13">
        <f>FAR[[#This Row],[Accumulated depreciation (Opening balance)]]+FAR[[#This Row],[Depreciation YTD]]+FAR[[#This Row],[Derecognitions (acc dep) '[+']]]</f>
        <v>-2278.86</v>
      </c>
      <c r="BN232" s="13"/>
      <c r="BO232" s="13"/>
      <c r="BP232" s="13"/>
      <c r="BQ232" s="13"/>
      <c r="BR23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32" s="13">
        <f>FAR[[#This Row],[Cost Price (closing balance)]]+FAR[[#This Row],[Accumulated depreciation (Closing balance)]]+FAR[[#This Row],[Accumulated impairments (Closing balance)]]</f>
        <v>0</v>
      </c>
      <c r="BT232" s="13"/>
      <c r="BU232" s="13"/>
      <c r="BV232" s="13"/>
      <c r="BW232" s="10" t="s">
        <v>167</v>
      </c>
      <c r="BX232" s="9" t="s">
        <v>168</v>
      </c>
      <c r="BY232" s="10"/>
      <c r="BZ232" t="s">
        <v>940</v>
      </c>
      <c r="CA232"/>
      <c r="CB232" s="34"/>
      <c r="CC232" s="34"/>
      <c r="CD232" s="34"/>
      <c r="CE232" s="141"/>
    </row>
    <row r="233" spans="1:83">
      <c r="A233" s="35" t="s">
        <v>403</v>
      </c>
      <c r="B233" s="9" t="s">
        <v>913</v>
      </c>
      <c r="C233" s="9" t="s">
        <v>54</v>
      </c>
      <c r="D233" s="10" t="s">
        <v>1</v>
      </c>
      <c r="E233" s="9" t="s">
        <v>115</v>
      </c>
      <c r="F233" s="36" t="s">
        <v>99</v>
      </c>
      <c r="G233" s="9" t="s">
        <v>100</v>
      </c>
      <c r="H233" s="3" t="s">
        <v>128</v>
      </c>
      <c r="I233" s="9" t="s">
        <v>100</v>
      </c>
      <c r="J233" s="36" t="s">
        <v>101</v>
      </c>
      <c r="K233" s="10" t="s">
        <v>559</v>
      </c>
      <c r="L233" s="10" t="s">
        <v>559</v>
      </c>
      <c r="M233" s="9" t="s">
        <v>100</v>
      </c>
      <c r="N233" s="10" t="s">
        <v>532</v>
      </c>
      <c r="O233" s="9" t="s">
        <v>100</v>
      </c>
      <c r="P233" s="10"/>
      <c r="Q233" s="10" t="s">
        <v>532</v>
      </c>
      <c r="R233" s="10" t="s">
        <v>119</v>
      </c>
      <c r="S233" s="10" t="s">
        <v>130</v>
      </c>
      <c r="T233" s="10" t="s">
        <v>120</v>
      </c>
      <c r="U233" s="10" t="s">
        <v>101</v>
      </c>
      <c r="V233" s="10" t="s">
        <v>121</v>
      </c>
      <c r="W233" s="10" t="s">
        <v>122</v>
      </c>
      <c r="X233" s="10" t="s">
        <v>123</v>
      </c>
      <c r="Y233" s="29">
        <v>1</v>
      </c>
      <c r="Z233" s="138" t="s">
        <v>593</v>
      </c>
      <c r="AA233" s="138">
        <v>42270</v>
      </c>
      <c r="AB233" s="9" t="s">
        <v>114</v>
      </c>
      <c r="AC233" s="9" t="s">
        <v>124</v>
      </c>
      <c r="AD233" s="15">
        <v>44651</v>
      </c>
      <c r="AE233" s="39" t="s">
        <v>125</v>
      </c>
      <c r="AF233" s="177">
        <v>6</v>
      </c>
      <c r="AG233" s="140">
        <v>0</v>
      </c>
      <c r="AH233" s="9">
        <v>0</v>
      </c>
      <c r="AI233" s="10" t="s">
        <v>126</v>
      </c>
      <c r="AJ233" s="10"/>
      <c r="AK233" s="29"/>
      <c r="AL233" s="12">
        <v>1</v>
      </c>
      <c r="AM233" s="10"/>
      <c r="AN233" s="12">
        <f>FAR[[#This Row],[Opening RUL]]+FAR[[#This Row],[RUL Adjustment]]</f>
        <v>1</v>
      </c>
      <c r="AO233" s="12">
        <f>FAR[[#This Row],[Opening RUL 30 June 2026]]-1</f>
        <v>0</v>
      </c>
      <c r="AP233" s="12" t="s">
        <v>1050</v>
      </c>
      <c r="AQ233" s="139"/>
      <c r="AR233" s="10" t="s">
        <v>127</v>
      </c>
      <c r="AS233" s="13">
        <v>2278.86</v>
      </c>
      <c r="AT233" s="13"/>
      <c r="AU233" s="13">
        <v>0</v>
      </c>
      <c r="AV233" s="13">
        <v>0</v>
      </c>
      <c r="AW233" s="13">
        <v>0</v>
      </c>
      <c r="AX233" s="13">
        <v>2278.86</v>
      </c>
      <c r="AY233" s="13">
        <v>126.60333333333347</v>
      </c>
      <c r="AZ233" s="13">
        <v>0</v>
      </c>
      <c r="BA233" s="13"/>
      <c r="BB233" s="13"/>
      <c r="BC233" s="13">
        <v>-2152.2566666666667</v>
      </c>
      <c r="BD233" s="13"/>
      <c r="BE233" s="13" t="s">
        <v>114</v>
      </c>
      <c r="BF233" s="29"/>
      <c r="BG233" s="13"/>
      <c r="BH233" s="13">
        <f>-FAR[[#This Row],[Carrying value (opening balance)]]/FAR[[#This Row],[Opening RUL 30 June 2026]]</f>
        <v>-126.60333333333347</v>
      </c>
      <c r="BI233" s="13">
        <f>FAR[[#This Row],[Depreciation YTD]]/12</f>
        <v>-10.550277777777788</v>
      </c>
      <c r="BJ233" s="13"/>
      <c r="BK233" s="13" t="s">
        <v>116</v>
      </c>
      <c r="BL233" s="13">
        <v>0</v>
      </c>
      <c r="BM233" s="13">
        <f>FAR[[#This Row],[Accumulated depreciation (Opening balance)]]+FAR[[#This Row],[Depreciation YTD]]+FAR[[#This Row],[Derecognitions (acc dep) '[+']]]</f>
        <v>-2278.86</v>
      </c>
      <c r="BN233" s="13"/>
      <c r="BO233" s="13"/>
      <c r="BP233" s="13"/>
      <c r="BQ233" s="13"/>
      <c r="BR23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33" s="13">
        <f>FAR[[#This Row],[Cost Price (closing balance)]]+FAR[[#This Row],[Accumulated depreciation (Closing balance)]]+FAR[[#This Row],[Accumulated impairments (Closing balance)]]</f>
        <v>0</v>
      </c>
      <c r="BT233" s="13"/>
      <c r="BU233" s="13"/>
      <c r="BV233" s="13"/>
      <c r="BW233" s="10" t="s">
        <v>167</v>
      </c>
      <c r="BX233" s="9" t="s">
        <v>168</v>
      </c>
      <c r="BY233" s="10"/>
      <c r="BZ233" t="s">
        <v>940</v>
      </c>
      <c r="CA233"/>
      <c r="CB233" s="34"/>
      <c r="CC233" s="34"/>
      <c r="CD233" s="34"/>
      <c r="CE233" s="141"/>
    </row>
    <row r="234" spans="1:83">
      <c r="A234" s="35" t="s">
        <v>404</v>
      </c>
      <c r="B234" s="9" t="s">
        <v>859</v>
      </c>
      <c r="C234" s="9" t="s">
        <v>54</v>
      </c>
      <c r="D234" s="10" t="s">
        <v>1</v>
      </c>
      <c r="E234" s="9" t="s">
        <v>115</v>
      </c>
      <c r="F234" s="36" t="s">
        <v>99</v>
      </c>
      <c r="G234" s="9" t="s">
        <v>100</v>
      </c>
      <c r="H234" s="3" t="s">
        <v>128</v>
      </c>
      <c r="I234" s="9" t="s">
        <v>100</v>
      </c>
      <c r="J234" s="36" t="s">
        <v>101</v>
      </c>
      <c r="K234" s="10" t="s">
        <v>559</v>
      </c>
      <c r="L234" s="10" t="s">
        <v>559</v>
      </c>
      <c r="M234" s="9" t="s">
        <v>100</v>
      </c>
      <c r="N234" s="10" t="s">
        <v>532</v>
      </c>
      <c r="O234" s="9" t="s">
        <v>100</v>
      </c>
      <c r="P234" s="10"/>
      <c r="Q234" s="10" t="s">
        <v>532</v>
      </c>
      <c r="R234" s="10" t="s">
        <v>119</v>
      </c>
      <c r="S234" s="10" t="s">
        <v>130</v>
      </c>
      <c r="T234" s="10" t="s">
        <v>120</v>
      </c>
      <c r="U234" s="10" t="s">
        <v>101</v>
      </c>
      <c r="V234" s="10" t="s">
        <v>121</v>
      </c>
      <c r="W234" s="10" t="s">
        <v>122</v>
      </c>
      <c r="X234" s="10" t="s">
        <v>123</v>
      </c>
      <c r="Y234" s="29">
        <v>1</v>
      </c>
      <c r="Z234" s="138" t="s">
        <v>593</v>
      </c>
      <c r="AA234" s="138">
        <v>42270</v>
      </c>
      <c r="AB234" s="9" t="s">
        <v>114</v>
      </c>
      <c r="AC234" s="9" t="s">
        <v>124</v>
      </c>
      <c r="AD234" s="15">
        <v>44651</v>
      </c>
      <c r="AE234" s="39" t="s">
        <v>125</v>
      </c>
      <c r="AF234" s="177">
        <v>6</v>
      </c>
      <c r="AG234" s="140">
        <v>0</v>
      </c>
      <c r="AH234" s="9">
        <v>0</v>
      </c>
      <c r="AI234" s="10" t="s">
        <v>126</v>
      </c>
      <c r="AJ234" s="10"/>
      <c r="AK234" s="29"/>
      <c r="AL234" s="12">
        <v>1</v>
      </c>
      <c r="AM234" s="10"/>
      <c r="AN234" s="12">
        <f>FAR[[#This Row],[Opening RUL]]+FAR[[#This Row],[RUL Adjustment]]</f>
        <v>1</v>
      </c>
      <c r="AO234" s="12">
        <f>FAR[[#This Row],[Opening RUL 30 June 2026]]-1</f>
        <v>0</v>
      </c>
      <c r="AP234" s="12" t="s">
        <v>1050</v>
      </c>
      <c r="AQ234" s="139"/>
      <c r="AR234" s="10" t="s">
        <v>127</v>
      </c>
      <c r="AS234" s="13">
        <v>2278.86</v>
      </c>
      <c r="AT234" s="13"/>
      <c r="AU234" s="13">
        <v>0</v>
      </c>
      <c r="AV234" s="13">
        <v>0</v>
      </c>
      <c r="AW234" s="13">
        <v>0</v>
      </c>
      <c r="AX234" s="13">
        <v>2278.86</v>
      </c>
      <c r="AY234" s="13">
        <v>126.60333333333347</v>
      </c>
      <c r="AZ234" s="13">
        <v>0</v>
      </c>
      <c r="BA234" s="13"/>
      <c r="BB234" s="13"/>
      <c r="BC234" s="13">
        <v>-2152.2566666666667</v>
      </c>
      <c r="BD234" s="13"/>
      <c r="BE234" s="13" t="s">
        <v>114</v>
      </c>
      <c r="BF234" s="29"/>
      <c r="BG234" s="13"/>
      <c r="BH234" s="13">
        <f>-FAR[[#This Row],[Carrying value (opening balance)]]/FAR[[#This Row],[Opening RUL 30 June 2026]]</f>
        <v>-126.60333333333347</v>
      </c>
      <c r="BI234" s="13">
        <f>FAR[[#This Row],[Depreciation YTD]]/12</f>
        <v>-10.550277777777788</v>
      </c>
      <c r="BJ234" s="13"/>
      <c r="BK234" s="13" t="s">
        <v>116</v>
      </c>
      <c r="BL234" s="13">
        <v>0</v>
      </c>
      <c r="BM234" s="13">
        <f>FAR[[#This Row],[Accumulated depreciation (Opening balance)]]+FAR[[#This Row],[Depreciation YTD]]+FAR[[#This Row],[Derecognitions (acc dep) '[+']]]</f>
        <v>-2278.86</v>
      </c>
      <c r="BN234" s="13"/>
      <c r="BO234" s="13"/>
      <c r="BP234" s="13"/>
      <c r="BQ234" s="13"/>
      <c r="BR23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34" s="13">
        <f>FAR[[#This Row],[Cost Price (closing balance)]]+FAR[[#This Row],[Accumulated depreciation (Closing balance)]]+FAR[[#This Row],[Accumulated impairments (Closing balance)]]</f>
        <v>0</v>
      </c>
      <c r="BT234" s="13"/>
      <c r="BU234" s="13"/>
      <c r="BV234" s="13"/>
      <c r="BW234" s="10" t="s">
        <v>167</v>
      </c>
      <c r="BX234" s="9" t="s">
        <v>168</v>
      </c>
      <c r="BY234" s="10"/>
      <c r="BZ234" t="s">
        <v>997</v>
      </c>
      <c r="CA234"/>
      <c r="CB234" s="34"/>
      <c r="CC234" s="34"/>
      <c r="CD234" s="34"/>
      <c r="CE234" s="141"/>
    </row>
    <row r="235" spans="1:83">
      <c r="A235" s="35" t="s">
        <v>405</v>
      </c>
      <c r="B235" s="9" t="s">
        <v>913</v>
      </c>
      <c r="C235" s="9" t="s">
        <v>54</v>
      </c>
      <c r="D235" s="10" t="s">
        <v>1</v>
      </c>
      <c r="E235" s="9" t="s">
        <v>115</v>
      </c>
      <c r="F235" s="36" t="s">
        <v>99</v>
      </c>
      <c r="G235" s="9" t="s">
        <v>100</v>
      </c>
      <c r="H235" s="3" t="s">
        <v>128</v>
      </c>
      <c r="I235" s="9" t="s">
        <v>100</v>
      </c>
      <c r="J235" s="36" t="s">
        <v>101</v>
      </c>
      <c r="K235" s="10" t="s">
        <v>559</v>
      </c>
      <c r="L235" s="10" t="s">
        <v>559</v>
      </c>
      <c r="M235" s="9" t="s">
        <v>100</v>
      </c>
      <c r="N235" s="10" t="s">
        <v>532</v>
      </c>
      <c r="O235" s="9" t="s">
        <v>100</v>
      </c>
      <c r="P235" s="10"/>
      <c r="Q235" s="10" t="s">
        <v>532</v>
      </c>
      <c r="R235" s="10" t="s">
        <v>119</v>
      </c>
      <c r="S235" s="10" t="s">
        <v>130</v>
      </c>
      <c r="T235" s="10" t="s">
        <v>120</v>
      </c>
      <c r="U235" s="10" t="s">
        <v>101</v>
      </c>
      <c r="V235" s="10" t="s">
        <v>121</v>
      </c>
      <c r="W235" s="10" t="s">
        <v>122</v>
      </c>
      <c r="X235" s="10" t="s">
        <v>123</v>
      </c>
      <c r="Y235" s="29">
        <v>1</v>
      </c>
      <c r="Z235" s="138" t="s">
        <v>593</v>
      </c>
      <c r="AA235" s="138">
        <v>42270</v>
      </c>
      <c r="AB235" s="9" t="s">
        <v>114</v>
      </c>
      <c r="AC235" s="9" t="s">
        <v>124</v>
      </c>
      <c r="AD235" s="15">
        <v>44651</v>
      </c>
      <c r="AE235" s="39" t="s">
        <v>125</v>
      </c>
      <c r="AF235" s="177">
        <v>6</v>
      </c>
      <c r="AG235" s="140">
        <v>0</v>
      </c>
      <c r="AH235" s="9">
        <v>0</v>
      </c>
      <c r="AI235" s="10" t="s">
        <v>126</v>
      </c>
      <c r="AJ235" s="10"/>
      <c r="AK235" s="29"/>
      <c r="AL235" s="12">
        <v>1</v>
      </c>
      <c r="AM235" s="10"/>
      <c r="AN235" s="12">
        <f>FAR[[#This Row],[Opening RUL]]+FAR[[#This Row],[RUL Adjustment]]</f>
        <v>1</v>
      </c>
      <c r="AO235" s="12">
        <f>FAR[[#This Row],[Opening RUL 30 June 2026]]-1</f>
        <v>0</v>
      </c>
      <c r="AP235" s="12" t="s">
        <v>1050</v>
      </c>
      <c r="AQ235" s="139"/>
      <c r="AR235" s="10" t="s">
        <v>127</v>
      </c>
      <c r="AS235" s="13">
        <v>2278.86</v>
      </c>
      <c r="AT235" s="13"/>
      <c r="AU235" s="13">
        <v>0</v>
      </c>
      <c r="AV235" s="13">
        <v>0</v>
      </c>
      <c r="AW235" s="13">
        <v>0</v>
      </c>
      <c r="AX235" s="13">
        <v>2278.86</v>
      </c>
      <c r="AY235" s="13">
        <v>126.60333333333347</v>
      </c>
      <c r="AZ235" s="13">
        <v>0</v>
      </c>
      <c r="BA235" s="13"/>
      <c r="BB235" s="13"/>
      <c r="BC235" s="13">
        <v>-2152.2566666666667</v>
      </c>
      <c r="BD235" s="13"/>
      <c r="BE235" s="13" t="s">
        <v>114</v>
      </c>
      <c r="BF235" s="29"/>
      <c r="BG235" s="13"/>
      <c r="BH235" s="13">
        <f>-FAR[[#This Row],[Carrying value (opening balance)]]/FAR[[#This Row],[Opening RUL 30 June 2026]]</f>
        <v>-126.60333333333347</v>
      </c>
      <c r="BI235" s="13">
        <f>FAR[[#This Row],[Depreciation YTD]]/12</f>
        <v>-10.550277777777788</v>
      </c>
      <c r="BJ235" s="13"/>
      <c r="BK235" s="13" t="s">
        <v>116</v>
      </c>
      <c r="BL235" s="13">
        <v>0</v>
      </c>
      <c r="BM235" s="13">
        <f>FAR[[#This Row],[Accumulated depreciation (Opening balance)]]+FAR[[#This Row],[Depreciation YTD]]+FAR[[#This Row],[Derecognitions (acc dep) '[+']]]</f>
        <v>-2278.86</v>
      </c>
      <c r="BN235" s="13"/>
      <c r="BO235" s="13"/>
      <c r="BP235" s="13"/>
      <c r="BQ235" s="13"/>
      <c r="BR23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35" s="13">
        <f>FAR[[#This Row],[Cost Price (closing balance)]]+FAR[[#This Row],[Accumulated depreciation (Closing balance)]]+FAR[[#This Row],[Accumulated impairments (Closing balance)]]</f>
        <v>0</v>
      </c>
      <c r="BT235" s="13"/>
      <c r="BU235" s="13"/>
      <c r="BV235" s="13"/>
      <c r="BW235" s="10" t="s">
        <v>167</v>
      </c>
      <c r="BX235" s="9" t="s">
        <v>168</v>
      </c>
      <c r="BY235" s="10"/>
      <c r="BZ235" t="s">
        <v>940</v>
      </c>
      <c r="CA235"/>
      <c r="CB235" s="34"/>
      <c r="CC235" s="34"/>
      <c r="CD235" s="34"/>
      <c r="CE235" s="141"/>
    </row>
    <row r="236" spans="1:83">
      <c r="A236" s="35" t="s">
        <v>406</v>
      </c>
      <c r="B236" s="9" t="s">
        <v>913</v>
      </c>
      <c r="C236" s="9" t="s">
        <v>54</v>
      </c>
      <c r="D236" s="10" t="s">
        <v>1</v>
      </c>
      <c r="E236" s="9" t="s">
        <v>115</v>
      </c>
      <c r="F236" s="36" t="s">
        <v>99</v>
      </c>
      <c r="G236" s="9" t="s">
        <v>100</v>
      </c>
      <c r="H236" s="3" t="s">
        <v>128</v>
      </c>
      <c r="I236" s="9" t="s">
        <v>100</v>
      </c>
      <c r="J236" s="36" t="s">
        <v>101</v>
      </c>
      <c r="K236" s="10" t="s">
        <v>559</v>
      </c>
      <c r="L236" s="10" t="s">
        <v>559</v>
      </c>
      <c r="M236" s="9" t="s">
        <v>100</v>
      </c>
      <c r="N236" s="10" t="s">
        <v>532</v>
      </c>
      <c r="O236" s="9" t="s">
        <v>100</v>
      </c>
      <c r="P236" s="10"/>
      <c r="Q236" s="10" t="s">
        <v>532</v>
      </c>
      <c r="R236" s="10" t="s">
        <v>119</v>
      </c>
      <c r="S236" s="10" t="s">
        <v>130</v>
      </c>
      <c r="T236" s="10" t="s">
        <v>120</v>
      </c>
      <c r="U236" s="10" t="s">
        <v>101</v>
      </c>
      <c r="V236" s="10" t="s">
        <v>121</v>
      </c>
      <c r="W236" s="10" t="s">
        <v>122</v>
      </c>
      <c r="X236" s="10" t="s">
        <v>123</v>
      </c>
      <c r="Y236" s="29">
        <v>1</v>
      </c>
      <c r="Z236" s="138" t="s">
        <v>593</v>
      </c>
      <c r="AA236" s="138">
        <v>42270</v>
      </c>
      <c r="AB236" s="9" t="s">
        <v>114</v>
      </c>
      <c r="AC236" s="9" t="s">
        <v>124</v>
      </c>
      <c r="AD236" s="15">
        <v>44651</v>
      </c>
      <c r="AE236" s="39" t="s">
        <v>125</v>
      </c>
      <c r="AF236" s="177">
        <v>6</v>
      </c>
      <c r="AG236" s="140">
        <v>0</v>
      </c>
      <c r="AH236" s="9">
        <v>0</v>
      </c>
      <c r="AI236" s="10" t="s">
        <v>126</v>
      </c>
      <c r="AJ236" s="10"/>
      <c r="AK236" s="29"/>
      <c r="AL236" s="12">
        <v>1</v>
      </c>
      <c r="AM236" s="10"/>
      <c r="AN236" s="12">
        <f>FAR[[#This Row],[Opening RUL]]+FAR[[#This Row],[RUL Adjustment]]</f>
        <v>1</v>
      </c>
      <c r="AO236" s="12">
        <f>FAR[[#This Row],[Opening RUL 30 June 2026]]-1</f>
        <v>0</v>
      </c>
      <c r="AP236" s="12" t="s">
        <v>1050</v>
      </c>
      <c r="AQ236" s="139"/>
      <c r="AR236" s="10" t="s">
        <v>127</v>
      </c>
      <c r="AS236" s="13">
        <v>2278.86</v>
      </c>
      <c r="AT236" s="13"/>
      <c r="AU236" s="13">
        <v>0</v>
      </c>
      <c r="AV236" s="13">
        <v>0</v>
      </c>
      <c r="AW236" s="13">
        <v>0</v>
      </c>
      <c r="AX236" s="13">
        <v>2278.86</v>
      </c>
      <c r="AY236" s="13">
        <v>126.60333333333347</v>
      </c>
      <c r="AZ236" s="13">
        <v>0</v>
      </c>
      <c r="BA236" s="13"/>
      <c r="BB236" s="13"/>
      <c r="BC236" s="13">
        <v>-2152.2566666666667</v>
      </c>
      <c r="BD236" s="13"/>
      <c r="BE236" s="13" t="s">
        <v>114</v>
      </c>
      <c r="BF236" s="29"/>
      <c r="BG236" s="13"/>
      <c r="BH236" s="13">
        <f>-FAR[[#This Row],[Carrying value (opening balance)]]/FAR[[#This Row],[Opening RUL 30 June 2026]]</f>
        <v>-126.60333333333347</v>
      </c>
      <c r="BI236" s="13">
        <f>FAR[[#This Row],[Depreciation YTD]]/12</f>
        <v>-10.550277777777788</v>
      </c>
      <c r="BJ236" s="13"/>
      <c r="BK236" s="13" t="s">
        <v>116</v>
      </c>
      <c r="BL236" s="13">
        <v>0</v>
      </c>
      <c r="BM236" s="13">
        <f>FAR[[#This Row],[Accumulated depreciation (Opening balance)]]+FAR[[#This Row],[Depreciation YTD]]+FAR[[#This Row],[Derecognitions (acc dep) '[+']]]</f>
        <v>-2278.86</v>
      </c>
      <c r="BN236" s="13"/>
      <c r="BO236" s="13"/>
      <c r="BP236" s="13"/>
      <c r="BQ236" s="13"/>
      <c r="BR23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36" s="13">
        <f>FAR[[#This Row],[Cost Price (closing balance)]]+FAR[[#This Row],[Accumulated depreciation (Closing balance)]]+FAR[[#This Row],[Accumulated impairments (Closing balance)]]</f>
        <v>0</v>
      </c>
      <c r="BT236" s="13"/>
      <c r="BU236" s="13"/>
      <c r="BV236" s="13"/>
      <c r="BW236" s="10" t="s">
        <v>167</v>
      </c>
      <c r="BX236" s="9" t="s">
        <v>168</v>
      </c>
      <c r="BY236" s="10"/>
      <c r="BZ236" t="s">
        <v>940</v>
      </c>
      <c r="CA236"/>
      <c r="CB236" s="34"/>
      <c r="CC236" s="34"/>
      <c r="CD236" s="34"/>
      <c r="CE236" s="141"/>
    </row>
    <row r="237" spans="1:83">
      <c r="A237" s="35" t="s">
        <v>407</v>
      </c>
      <c r="B237" s="9" t="s">
        <v>890</v>
      </c>
      <c r="C237" s="9" t="s">
        <v>54</v>
      </c>
      <c r="D237" s="10" t="s">
        <v>1</v>
      </c>
      <c r="E237" s="9" t="s">
        <v>115</v>
      </c>
      <c r="F237" s="36" t="s">
        <v>99</v>
      </c>
      <c r="G237" s="9" t="s">
        <v>100</v>
      </c>
      <c r="H237" s="3" t="s">
        <v>128</v>
      </c>
      <c r="I237" s="9" t="s">
        <v>100</v>
      </c>
      <c r="J237" s="36" t="s">
        <v>101</v>
      </c>
      <c r="K237" s="10" t="s">
        <v>559</v>
      </c>
      <c r="L237" s="10" t="s">
        <v>559</v>
      </c>
      <c r="M237" s="9" t="s">
        <v>100</v>
      </c>
      <c r="N237" s="10" t="s">
        <v>532</v>
      </c>
      <c r="O237" s="9" t="s">
        <v>100</v>
      </c>
      <c r="P237" s="10"/>
      <c r="Q237" s="10" t="s">
        <v>532</v>
      </c>
      <c r="R237" s="10" t="s">
        <v>119</v>
      </c>
      <c r="S237" s="10" t="s">
        <v>130</v>
      </c>
      <c r="T237" s="10" t="s">
        <v>120</v>
      </c>
      <c r="U237" s="10" t="s">
        <v>101</v>
      </c>
      <c r="V237" s="10" t="s">
        <v>121</v>
      </c>
      <c r="W237" s="10" t="s">
        <v>122</v>
      </c>
      <c r="X237" s="10" t="s">
        <v>123</v>
      </c>
      <c r="Y237" s="29">
        <v>1</v>
      </c>
      <c r="Z237" s="138" t="s">
        <v>593</v>
      </c>
      <c r="AA237" s="138">
        <v>42270</v>
      </c>
      <c r="AB237" s="9" t="s">
        <v>114</v>
      </c>
      <c r="AC237" s="9" t="s">
        <v>124</v>
      </c>
      <c r="AD237" s="15">
        <v>44651</v>
      </c>
      <c r="AE237" s="39" t="s">
        <v>125</v>
      </c>
      <c r="AF237" s="177">
        <v>6</v>
      </c>
      <c r="AG237" s="140">
        <v>0</v>
      </c>
      <c r="AH237" s="9">
        <v>0</v>
      </c>
      <c r="AI237" s="10" t="s">
        <v>126</v>
      </c>
      <c r="AJ237" s="10"/>
      <c r="AK237" s="29"/>
      <c r="AL237" s="12">
        <v>1</v>
      </c>
      <c r="AM237" s="10"/>
      <c r="AN237" s="12">
        <f>FAR[[#This Row],[Opening RUL]]+FAR[[#This Row],[RUL Adjustment]]</f>
        <v>1</v>
      </c>
      <c r="AO237" s="12">
        <f>FAR[[#This Row],[Opening RUL 30 June 2026]]-1</f>
        <v>0</v>
      </c>
      <c r="AP237" s="12" t="s">
        <v>1050</v>
      </c>
      <c r="AQ237" s="139"/>
      <c r="AR237" s="10" t="s">
        <v>127</v>
      </c>
      <c r="AS237" s="13">
        <v>2278.86</v>
      </c>
      <c r="AT237" s="13"/>
      <c r="AU237" s="13">
        <v>0</v>
      </c>
      <c r="AV237" s="13">
        <v>0</v>
      </c>
      <c r="AW237" s="13">
        <v>0</v>
      </c>
      <c r="AX237" s="13">
        <v>2278.86</v>
      </c>
      <c r="AY237" s="13">
        <v>126.60333333333347</v>
      </c>
      <c r="AZ237" s="13">
        <v>0</v>
      </c>
      <c r="BA237" s="13"/>
      <c r="BB237" s="13"/>
      <c r="BC237" s="13">
        <v>-2152.2566666666667</v>
      </c>
      <c r="BD237" s="13"/>
      <c r="BE237" s="13" t="s">
        <v>114</v>
      </c>
      <c r="BF237" s="29"/>
      <c r="BG237" s="13"/>
      <c r="BH237" s="13">
        <f>-FAR[[#This Row],[Carrying value (opening balance)]]/FAR[[#This Row],[Opening RUL 30 June 2026]]</f>
        <v>-126.60333333333347</v>
      </c>
      <c r="BI237" s="13">
        <f>FAR[[#This Row],[Depreciation YTD]]/12</f>
        <v>-10.550277777777788</v>
      </c>
      <c r="BJ237" s="13"/>
      <c r="BK237" s="13" t="s">
        <v>116</v>
      </c>
      <c r="BL237" s="13">
        <v>0</v>
      </c>
      <c r="BM237" s="13">
        <f>FAR[[#This Row],[Accumulated depreciation (Opening balance)]]+FAR[[#This Row],[Depreciation YTD]]+FAR[[#This Row],[Derecognitions (acc dep) '[+']]]</f>
        <v>-2278.86</v>
      </c>
      <c r="BN237" s="13"/>
      <c r="BO237" s="13"/>
      <c r="BP237" s="13"/>
      <c r="BQ237" s="13"/>
      <c r="BR23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37" s="13">
        <f>FAR[[#This Row],[Cost Price (closing balance)]]+FAR[[#This Row],[Accumulated depreciation (Closing balance)]]+FAR[[#This Row],[Accumulated impairments (Closing balance)]]</f>
        <v>0</v>
      </c>
      <c r="BT237" s="13"/>
      <c r="BU237" s="13"/>
      <c r="BV237" s="13"/>
      <c r="BW237" s="10" t="s">
        <v>167</v>
      </c>
      <c r="BX237" s="9" t="s">
        <v>168</v>
      </c>
      <c r="BY237" s="10"/>
      <c r="BZ237" t="s">
        <v>940</v>
      </c>
      <c r="CA237"/>
      <c r="CB237" s="34"/>
      <c r="CC237" s="34"/>
      <c r="CD237" s="34"/>
      <c r="CE237" s="141"/>
    </row>
    <row r="238" spans="1:83">
      <c r="A238" s="35" t="s">
        <v>408</v>
      </c>
      <c r="B238" s="9" t="s">
        <v>913</v>
      </c>
      <c r="C238" s="9" t="s">
        <v>54</v>
      </c>
      <c r="D238" s="10" t="s">
        <v>1</v>
      </c>
      <c r="E238" s="9" t="s">
        <v>115</v>
      </c>
      <c r="F238" s="36" t="s">
        <v>99</v>
      </c>
      <c r="G238" s="9" t="s">
        <v>100</v>
      </c>
      <c r="H238" s="3" t="s">
        <v>128</v>
      </c>
      <c r="I238" s="9" t="s">
        <v>100</v>
      </c>
      <c r="J238" s="36" t="s">
        <v>101</v>
      </c>
      <c r="K238" s="10" t="s">
        <v>559</v>
      </c>
      <c r="L238" s="10" t="s">
        <v>559</v>
      </c>
      <c r="M238" s="9" t="s">
        <v>100</v>
      </c>
      <c r="N238" s="10" t="s">
        <v>532</v>
      </c>
      <c r="O238" s="9" t="s">
        <v>100</v>
      </c>
      <c r="P238" s="10"/>
      <c r="Q238" s="10" t="s">
        <v>532</v>
      </c>
      <c r="R238" s="10" t="s">
        <v>119</v>
      </c>
      <c r="S238" s="10" t="s">
        <v>130</v>
      </c>
      <c r="T238" s="10" t="s">
        <v>120</v>
      </c>
      <c r="U238" s="10" t="s">
        <v>101</v>
      </c>
      <c r="V238" s="10" t="s">
        <v>121</v>
      </c>
      <c r="W238" s="10" t="s">
        <v>122</v>
      </c>
      <c r="X238" s="10" t="s">
        <v>123</v>
      </c>
      <c r="Y238" s="29">
        <v>1</v>
      </c>
      <c r="Z238" s="138" t="s">
        <v>593</v>
      </c>
      <c r="AA238" s="138">
        <v>42270</v>
      </c>
      <c r="AB238" s="9" t="s">
        <v>114</v>
      </c>
      <c r="AC238" s="9" t="s">
        <v>124</v>
      </c>
      <c r="AD238" s="15">
        <v>44651</v>
      </c>
      <c r="AE238" s="39" t="s">
        <v>125</v>
      </c>
      <c r="AF238" s="177">
        <v>6</v>
      </c>
      <c r="AG238" s="140">
        <v>0</v>
      </c>
      <c r="AH238" s="9">
        <v>0</v>
      </c>
      <c r="AI238" s="10" t="s">
        <v>126</v>
      </c>
      <c r="AJ238" s="10"/>
      <c r="AK238" s="29"/>
      <c r="AL238" s="12">
        <v>1</v>
      </c>
      <c r="AM238" s="10"/>
      <c r="AN238" s="12">
        <f>FAR[[#This Row],[Opening RUL]]+FAR[[#This Row],[RUL Adjustment]]</f>
        <v>1</v>
      </c>
      <c r="AO238" s="12">
        <f>FAR[[#This Row],[Opening RUL 30 June 2026]]-1</f>
        <v>0</v>
      </c>
      <c r="AP238" s="12" t="s">
        <v>1050</v>
      </c>
      <c r="AQ238" s="139"/>
      <c r="AR238" s="10" t="s">
        <v>127</v>
      </c>
      <c r="AS238" s="13">
        <v>2278.86</v>
      </c>
      <c r="AT238" s="13"/>
      <c r="AU238" s="13">
        <v>0</v>
      </c>
      <c r="AV238" s="13">
        <v>0</v>
      </c>
      <c r="AW238" s="13">
        <v>0</v>
      </c>
      <c r="AX238" s="13">
        <v>2278.86</v>
      </c>
      <c r="AY238" s="13">
        <v>126.60333333333347</v>
      </c>
      <c r="AZ238" s="13">
        <v>0</v>
      </c>
      <c r="BA238" s="13"/>
      <c r="BB238" s="13"/>
      <c r="BC238" s="13">
        <v>-2152.2566666666667</v>
      </c>
      <c r="BD238" s="13"/>
      <c r="BE238" s="13" t="s">
        <v>114</v>
      </c>
      <c r="BF238" s="29"/>
      <c r="BG238" s="13"/>
      <c r="BH238" s="13">
        <f>-FAR[[#This Row],[Carrying value (opening balance)]]/FAR[[#This Row],[Opening RUL 30 June 2026]]</f>
        <v>-126.60333333333347</v>
      </c>
      <c r="BI238" s="13">
        <f>FAR[[#This Row],[Depreciation YTD]]/12</f>
        <v>-10.550277777777788</v>
      </c>
      <c r="BJ238" s="13"/>
      <c r="BK238" s="13" t="s">
        <v>116</v>
      </c>
      <c r="BL238" s="13">
        <v>0</v>
      </c>
      <c r="BM238" s="13">
        <f>FAR[[#This Row],[Accumulated depreciation (Opening balance)]]+FAR[[#This Row],[Depreciation YTD]]+FAR[[#This Row],[Derecognitions (acc dep) '[+']]]</f>
        <v>-2278.86</v>
      </c>
      <c r="BN238" s="13"/>
      <c r="BO238" s="13"/>
      <c r="BP238" s="13"/>
      <c r="BQ238" s="13"/>
      <c r="BR23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38" s="13">
        <f>FAR[[#This Row],[Cost Price (closing balance)]]+FAR[[#This Row],[Accumulated depreciation (Closing balance)]]+FAR[[#This Row],[Accumulated impairments (Closing balance)]]</f>
        <v>0</v>
      </c>
      <c r="BT238" s="13"/>
      <c r="BU238" s="13"/>
      <c r="BV238" s="13"/>
      <c r="BW238" s="10" t="s">
        <v>167</v>
      </c>
      <c r="BX238" s="9" t="s">
        <v>168</v>
      </c>
      <c r="BY238" s="10"/>
      <c r="BZ238" t="s">
        <v>940</v>
      </c>
      <c r="CA238"/>
      <c r="CB238" s="34"/>
      <c r="CC238" s="34"/>
      <c r="CD238" s="34"/>
      <c r="CE238" s="141"/>
    </row>
    <row r="239" spans="1:83">
      <c r="A239" s="35" t="s">
        <v>409</v>
      </c>
      <c r="B239" s="9" t="s">
        <v>890</v>
      </c>
      <c r="C239" s="9" t="s">
        <v>54</v>
      </c>
      <c r="D239" s="10" t="s">
        <v>1</v>
      </c>
      <c r="E239" s="9" t="s">
        <v>115</v>
      </c>
      <c r="F239" s="36" t="s">
        <v>99</v>
      </c>
      <c r="G239" s="9" t="s">
        <v>100</v>
      </c>
      <c r="H239" s="3" t="s">
        <v>128</v>
      </c>
      <c r="I239" s="9" t="s">
        <v>100</v>
      </c>
      <c r="J239" s="36" t="s">
        <v>101</v>
      </c>
      <c r="K239" s="10" t="s">
        <v>559</v>
      </c>
      <c r="L239" s="10" t="s">
        <v>559</v>
      </c>
      <c r="M239" s="9" t="s">
        <v>100</v>
      </c>
      <c r="N239" s="10" t="s">
        <v>532</v>
      </c>
      <c r="O239" s="9" t="s">
        <v>100</v>
      </c>
      <c r="P239" s="10"/>
      <c r="Q239" s="10" t="s">
        <v>532</v>
      </c>
      <c r="R239" s="10" t="s">
        <v>119</v>
      </c>
      <c r="S239" s="10" t="s">
        <v>130</v>
      </c>
      <c r="T239" s="10" t="s">
        <v>120</v>
      </c>
      <c r="U239" s="10" t="s">
        <v>101</v>
      </c>
      <c r="V239" s="10" t="s">
        <v>121</v>
      </c>
      <c r="W239" s="10" t="s">
        <v>122</v>
      </c>
      <c r="X239" s="10" t="s">
        <v>123</v>
      </c>
      <c r="Y239" s="29">
        <v>1</v>
      </c>
      <c r="Z239" s="138" t="s">
        <v>593</v>
      </c>
      <c r="AA239" s="138">
        <v>42270</v>
      </c>
      <c r="AB239" s="9" t="s">
        <v>114</v>
      </c>
      <c r="AC239" s="9" t="s">
        <v>124</v>
      </c>
      <c r="AD239" s="15">
        <v>44651</v>
      </c>
      <c r="AE239" s="39" t="s">
        <v>125</v>
      </c>
      <c r="AF239" s="177">
        <v>6</v>
      </c>
      <c r="AG239" s="140">
        <v>0</v>
      </c>
      <c r="AH239" s="9">
        <v>0</v>
      </c>
      <c r="AI239" s="10" t="s">
        <v>126</v>
      </c>
      <c r="AJ239" s="10"/>
      <c r="AK239" s="29"/>
      <c r="AL239" s="12">
        <v>1</v>
      </c>
      <c r="AM239" s="10"/>
      <c r="AN239" s="12">
        <f>FAR[[#This Row],[Opening RUL]]+FAR[[#This Row],[RUL Adjustment]]</f>
        <v>1</v>
      </c>
      <c r="AO239" s="12">
        <f>FAR[[#This Row],[Opening RUL 30 June 2026]]-1</f>
        <v>0</v>
      </c>
      <c r="AP239" s="12" t="s">
        <v>1050</v>
      </c>
      <c r="AQ239" s="139"/>
      <c r="AR239" s="10" t="s">
        <v>127</v>
      </c>
      <c r="AS239" s="13">
        <v>2278.86</v>
      </c>
      <c r="AT239" s="13"/>
      <c r="AU239" s="13">
        <v>0</v>
      </c>
      <c r="AV239" s="13">
        <v>0</v>
      </c>
      <c r="AW239" s="13">
        <v>0</v>
      </c>
      <c r="AX239" s="13">
        <v>2278.86</v>
      </c>
      <c r="AY239" s="13">
        <v>126.60333333333347</v>
      </c>
      <c r="AZ239" s="13">
        <v>0</v>
      </c>
      <c r="BA239" s="13"/>
      <c r="BB239" s="13"/>
      <c r="BC239" s="13">
        <v>-2152.2566666666667</v>
      </c>
      <c r="BD239" s="13"/>
      <c r="BE239" s="13" t="s">
        <v>114</v>
      </c>
      <c r="BF239" s="29"/>
      <c r="BG239" s="13"/>
      <c r="BH239" s="13">
        <f>-FAR[[#This Row],[Carrying value (opening balance)]]/FAR[[#This Row],[Opening RUL 30 June 2026]]</f>
        <v>-126.60333333333347</v>
      </c>
      <c r="BI239" s="13">
        <f>FAR[[#This Row],[Depreciation YTD]]/12</f>
        <v>-10.550277777777788</v>
      </c>
      <c r="BJ239" s="13"/>
      <c r="BK239" s="13" t="s">
        <v>116</v>
      </c>
      <c r="BL239" s="13">
        <v>0</v>
      </c>
      <c r="BM239" s="13">
        <f>FAR[[#This Row],[Accumulated depreciation (Opening balance)]]+FAR[[#This Row],[Depreciation YTD]]+FAR[[#This Row],[Derecognitions (acc dep) '[+']]]</f>
        <v>-2278.86</v>
      </c>
      <c r="BN239" s="13"/>
      <c r="BO239" s="13"/>
      <c r="BP239" s="13"/>
      <c r="BQ239" s="13"/>
      <c r="BR23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39" s="13">
        <f>FAR[[#This Row],[Cost Price (closing balance)]]+FAR[[#This Row],[Accumulated depreciation (Closing balance)]]+FAR[[#This Row],[Accumulated impairments (Closing balance)]]</f>
        <v>0</v>
      </c>
      <c r="BT239" s="13"/>
      <c r="BU239" s="13"/>
      <c r="BV239" s="13"/>
      <c r="BW239" s="10" t="s">
        <v>167</v>
      </c>
      <c r="BX239" s="9" t="s">
        <v>168</v>
      </c>
      <c r="BY239" s="10"/>
      <c r="BZ239" t="s">
        <v>940</v>
      </c>
      <c r="CA239"/>
      <c r="CB239" s="34"/>
      <c r="CC239" s="34"/>
      <c r="CD239" s="34"/>
      <c r="CE239" s="141"/>
    </row>
    <row r="240" spans="1:83">
      <c r="A240" s="35" t="s">
        <v>410</v>
      </c>
      <c r="B240" s="9" t="s">
        <v>913</v>
      </c>
      <c r="C240" s="9" t="s">
        <v>54</v>
      </c>
      <c r="D240" s="10" t="s">
        <v>1</v>
      </c>
      <c r="E240" s="9" t="s">
        <v>115</v>
      </c>
      <c r="F240" s="36" t="s">
        <v>99</v>
      </c>
      <c r="G240" s="9" t="s">
        <v>100</v>
      </c>
      <c r="H240" s="3" t="s">
        <v>128</v>
      </c>
      <c r="I240" s="9" t="s">
        <v>100</v>
      </c>
      <c r="J240" s="36" t="s">
        <v>101</v>
      </c>
      <c r="K240" s="10" t="s">
        <v>559</v>
      </c>
      <c r="L240" s="10" t="s">
        <v>559</v>
      </c>
      <c r="M240" s="9" t="s">
        <v>100</v>
      </c>
      <c r="N240" s="10" t="s">
        <v>533</v>
      </c>
      <c r="O240" s="9" t="s">
        <v>100</v>
      </c>
      <c r="P240" s="10"/>
      <c r="Q240" s="10" t="s">
        <v>533</v>
      </c>
      <c r="R240" s="10" t="s">
        <v>119</v>
      </c>
      <c r="S240" s="10" t="s">
        <v>130</v>
      </c>
      <c r="T240" s="10" t="s">
        <v>120</v>
      </c>
      <c r="U240" s="10" t="s">
        <v>101</v>
      </c>
      <c r="V240" s="10" t="s">
        <v>121</v>
      </c>
      <c r="W240" s="10" t="s">
        <v>122</v>
      </c>
      <c r="X240" s="10" t="s">
        <v>123</v>
      </c>
      <c r="Y240" s="29">
        <v>1</v>
      </c>
      <c r="Z240" s="138" t="s">
        <v>593</v>
      </c>
      <c r="AA240" s="138">
        <v>42270</v>
      </c>
      <c r="AB240" s="9" t="s">
        <v>114</v>
      </c>
      <c r="AC240" s="9" t="s">
        <v>124</v>
      </c>
      <c r="AD240" s="15">
        <v>44651</v>
      </c>
      <c r="AE240" s="39" t="s">
        <v>125</v>
      </c>
      <c r="AF240" s="177">
        <v>6</v>
      </c>
      <c r="AG240" s="140">
        <v>0</v>
      </c>
      <c r="AH240" s="9">
        <v>0</v>
      </c>
      <c r="AI240" s="10" t="s">
        <v>126</v>
      </c>
      <c r="AJ240" s="10"/>
      <c r="AK240" s="29"/>
      <c r="AL240" s="12">
        <v>1</v>
      </c>
      <c r="AM240" s="10"/>
      <c r="AN240" s="12">
        <f>FAR[[#This Row],[Opening RUL]]+FAR[[#This Row],[RUL Adjustment]]</f>
        <v>1</v>
      </c>
      <c r="AO240" s="12">
        <f>FAR[[#This Row],[Opening RUL 30 June 2026]]-1</f>
        <v>0</v>
      </c>
      <c r="AP240" s="12" t="s">
        <v>1050</v>
      </c>
      <c r="AQ240" s="139"/>
      <c r="AR240" s="10" t="s">
        <v>127</v>
      </c>
      <c r="AS240" s="13">
        <v>2278.86</v>
      </c>
      <c r="AT240" s="13"/>
      <c r="AU240" s="13">
        <v>0</v>
      </c>
      <c r="AV240" s="13">
        <v>0</v>
      </c>
      <c r="AW240" s="13">
        <v>0</v>
      </c>
      <c r="AX240" s="13">
        <v>2278.86</v>
      </c>
      <c r="AY240" s="13">
        <v>126.60333333333347</v>
      </c>
      <c r="AZ240" s="13">
        <v>0</v>
      </c>
      <c r="BA240" s="13"/>
      <c r="BB240" s="13"/>
      <c r="BC240" s="13">
        <v>-2152.2566666666667</v>
      </c>
      <c r="BD240" s="13"/>
      <c r="BE240" s="13" t="s">
        <v>114</v>
      </c>
      <c r="BF240" s="29"/>
      <c r="BG240" s="13"/>
      <c r="BH240" s="13">
        <f>-FAR[[#This Row],[Carrying value (opening balance)]]/FAR[[#This Row],[Opening RUL 30 June 2026]]</f>
        <v>-126.60333333333347</v>
      </c>
      <c r="BI240" s="13">
        <f>FAR[[#This Row],[Depreciation YTD]]/12</f>
        <v>-10.550277777777788</v>
      </c>
      <c r="BJ240" s="13"/>
      <c r="BK240" s="13" t="s">
        <v>116</v>
      </c>
      <c r="BL240" s="13">
        <v>0</v>
      </c>
      <c r="BM240" s="13">
        <f>FAR[[#This Row],[Accumulated depreciation (Opening balance)]]+FAR[[#This Row],[Depreciation YTD]]+FAR[[#This Row],[Derecognitions (acc dep) '[+']]]</f>
        <v>-2278.86</v>
      </c>
      <c r="BN240" s="13"/>
      <c r="BO240" s="13"/>
      <c r="BP240" s="13"/>
      <c r="BQ240" s="13"/>
      <c r="BR24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40" s="13">
        <f>FAR[[#This Row],[Cost Price (closing balance)]]+FAR[[#This Row],[Accumulated depreciation (Closing balance)]]+FAR[[#This Row],[Accumulated impairments (Closing balance)]]</f>
        <v>0</v>
      </c>
      <c r="BT240" s="13"/>
      <c r="BU240" s="13"/>
      <c r="BV240" s="13"/>
      <c r="BW240" s="10" t="s">
        <v>167</v>
      </c>
      <c r="BX240" s="9" t="s">
        <v>168</v>
      </c>
      <c r="BY240" s="10"/>
      <c r="BZ240" t="s">
        <v>940</v>
      </c>
      <c r="CA240"/>
      <c r="CB240" s="34"/>
      <c r="CC240" s="34"/>
      <c r="CD240" s="34"/>
      <c r="CE240" s="141"/>
    </row>
    <row r="241" spans="1:83">
      <c r="A241" s="35" t="s">
        <v>411</v>
      </c>
      <c r="B241" s="9" t="s">
        <v>858</v>
      </c>
      <c r="C241" s="9" t="s">
        <v>54</v>
      </c>
      <c r="D241" s="10" t="s">
        <v>1</v>
      </c>
      <c r="E241" s="9" t="s">
        <v>115</v>
      </c>
      <c r="F241" s="36" t="s">
        <v>99</v>
      </c>
      <c r="G241" s="9" t="s">
        <v>100</v>
      </c>
      <c r="H241" s="3" t="s">
        <v>128</v>
      </c>
      <c r="I241" s="9" t="s">
        <v>100</v>
      </c>
      <c r="J241" s="36" t="s">
        <v>101</v>
      </c>
      <c r="K241" s="10" t="s">
        <v>559</v>
      </c>
      <c r="L241" s="10" t="s">
        <v>559</v>
      </c>
      <c r="M241" s="9" t="s">
        <v>100</v>
      </c>
      <c r="N241" s="10" t="s">
        <v>534</v>
      </c>
      <c r="O241" s="9" t="s">
        <v>100</v>
      </c>
      <c r="P241" s="10"/>
      <c r="Q241" s="10" t="s">
        <v>534</v>
      </c>
      <c r="R241" s="10" t="s">
        <v>119</v>
      </c>
      <c r="S241" s="10" t="s">
        <v>130</v>
      </c>
      <c r="T241" s="10" t="s">
        <v>120</v>
      </c>
      <c r="U241" s="10" t="s">
        <v>101</v>
      </c>
      <c r="V241" s="10" t="s">
        <v>121</v>
      </c>
      <c r="W241" s="10" t="s">
        <v>122</v>
      </c>
      <c r="X241" s="10" t="s">
        <v>123</v>
      </c>
      <c r="Y241" s="29">
        <v>1</v>
      </c>
      <c r="Z241" s="138" t="s">
        <v>594</v>
      </c>
      <c r="AA241" s="138">
        <v>42807</v>
      </c>
      <c r="AB241" s="9" t="s">
        <v>114</v>
      </c>
      <c r="AC241" s="9" t="s">
        <v>124</v>
      </c>
      <c r="AD241" s="15">
        <v>44651</v>
      </c>
      <c r="AE241" s="39" t="s">
        <v>125</v>
      </c>
      <c r="AF241" s="177">
        <v>6</v>
      </c>
      <c r="AG241" s="140">
        <v>0</v>
      </c>
      <c r="AH241" s="9">
        <v>0</v>
      </c>
      <c r="AI241" s="10" t="s">
        <v>126</v>
      </c>
      <c r="AJ241" s="10"/>
      <c r="AK241" s="29"/>
      <c r="AL241" s="12">
        <v>1.6986301369863011</v>
      </c>
      <c r="AM241" s="10"/>
      <c r="AN241" s="12">
        <f>FAR[[#This Row],[Opening RUL]]+FAR[[#This Row],[RUL Adjustment]]</f>
        <v>1.6986301369863011</v>
      </c>
      <c r="AO241" s="12">
        <f>FAR[[#This Row],[Opening RUL 30 June 2026]]-1</f>
        <v>0.69863013698630105</v>
      </c>
      <c r="AP241" s="12" t="s">
        <v>1050</v>
      </c>
      <c r="AQ241" s="139"/>
      <c r="AR241" s="10" t="s">
        <v>127</v>
      </c>
      <c r="AS241" s="13">
        <v>8248.35</v>
      </c>
      <c r="AT241" s="13"/>
      <c r="AU241" s="13">
        <v>0</v>
      </c>
      <c r="AV241" s="13">
        <v>0</v>
      </c>
      <c r="AW241" s="13">
        <v>0</v>
      </c>
      <c r="AX241" s="13">
        <v>8248.35</v>
      </c>
      <c r="AY241" s="13">
        <v>149.82612972363222</v>
      </c>
      <c r="AZ241" s="13">
        <v>0</v>
      </c>
      <c r="BA241" s="13"/>
      <c r="BB241" s="13"/>
      <c r="BC241" s="13">
        <v>-8098.5238702763681</v>
      </c>
      <c r="BD241" s="13"/>
      <c r="BE241" s="13" t="s">
        <v>114</v>
      </c>
      <c r="BF241" s="29"/>
      <c r="BG241" s="13"/>
      <c r="BH241" s="13">
        <f>-FAR[[#This Row],[Carrying value (opening balance)]]/FAR[[#This Row],[Opening RUL 30 June 2026]]</f>
        <v>-88.204092498589958</v>
      </c>
      <c r="BI241" s="13">
        <f>FAR[[#This Row],[Depreciation YTD]]/12</f>
        <v>-7.3503410415491635</v>
      </c>
      <c r="BJ241" s="13"/>
      <c r="BK241" s="13" t="s">
        <v>116</v>
      </c>
      <c r="BL241" s="13">
        <v>0</v>
      </c>
      <c r="BM241" s="13">
        <f>FAR[[#This Row],[Accumulated depreciation (Opening balance)]]+FAR[[#This Row],[Depreciation YTD]]+FAR[[#This Row],[Derecognitions (acc dep) '[+']]]</f>
        <v>-8186.7279627749585</v>
      </c>
      <c r="BN241" s="13"/>
      <c r="BO241" s="13"/>
      <c r="BP241" s="13"/>
      <c r="BQ241" s="13"/>
      <c r="BR24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41" s="13">
        <f>FAR[[#This Row],[Cost Price (closing balance)]]+FAR[[#This Row],[Accumulated depreciation (Closing balance)]]+FAR[[#This Row],[Accumulated impairments (Closing balance)]]</f>
        <v>61.622037225041822</v>
      </c>
      <c r="BT241" s="13"/>
      <c r="BU241" s="13"/>
      <c r="BV241" s="13"/>
      <c r="BW241" s="10" t="s">
        <v>167</v>
      </c>
      <c r="BX241" s="9" t="s">
        <v>168</v>
      </c>
      <c r="BY241" s="10"/>
      <c r="BZ241" t="s">
        <v>940</v>
      </c>
      <c r="CA241"/>
      <c r="CB241" s="34"/>
      <c r="CC241" s="34"/>
      <c r="CD241" s="34"/>
      <c r="CE241" s="141"/>
    </row>
    <row r="242" spans="1:83">
      <c r="A242" s="35" t="s">
        <v>412</v>
      </c>
      <c r="B242" s="9" t="s">
        <v>856</v>
      </c>
      <c r="C242" s="9" t="s">
        <v>54</v>
      </c>
      <c r="D242" s="10" t="s">
        <v>1</v>
      </c>
      <c r="E242" s="9" t="s">
        <v>115</v>
      </c>
      <c r="F242" s="36" t="s">
        <v>99</v>
      </c>
      <c r="G242" s="9" t="s">
        <v>100</v>
      </c>
      <c r="H242" s="3" t="s">
        <v>128</v>
      </c>
      <c r="I242" s="9" t="s">
        <v>100</v>
      </c>
      <c r="J242" s="36" t="s">
        <v>101</v>
      </c>
      <c r="K242" s="10" t="s">
        <v>559</v>
      </c>
      <c r="L242" s="10" t="s">
        <v>559</v>
      </c>
      <c r="M242" s="9" t="s">
        <v>100</v>
      </c>
      <c r="N242" s="10" t="s">
        <v>535</v>
      </c>
      <c r="O242" s="9" t="s">
        <v>100</v>
      </c>
      <c r="P242" s="10"/>
      <c r="Q242" s="10" t="s">
        <v>535</v>
      </c>
      <c r="R242" s="10" t="s">
        <v>119</v>
      </c>
      <c r="S242" s="10" t="s">
        <v>130</v>
      </c>
      <c r="T242" s="10" t="s">
        <v>120</v>
      </c>
      <c r="U242" s="10" t="s">
        <v>101</v>
      </c>
      <c r="V242" s="10" t="s">
        <v>121</v>
      </c>
      <c r="W242" s="10" t="s">
        <v>122</v>
      </c>
      <c r="X242" s="10" t="s">
        <v>123</v>
      </c>
      <c r="Y242" s="29">
        <v>1</v>
      </c>
      <c r="Z242" s="138" t="s">
        <v>594</v>
      </c>
      <c r="AA242" s="138">
        <v>42807</v>
      </c>
      <c r="AB242" s="9" t="s">
        <v>114</v>
      </c>
      <c r="AC242" s="9" t="s">
        <v>124</v>
      </c>
      <c r="AD242" s="15">
        <v>44651</v>
      </c>
      <c r="AE242" s="39" t="s">
        <v>125</v>
      </c>
      <c r="AF242" s="177">
        <v>6</v>
      </c>
      <c r="AG242" s="140">
        <v>0</v>
      </c>
      <c r="AH242" s="9">
        <v>0</v>
      </c>
      <c r="AI242" s="10" t="s">
        <v>126</v>
      </c>
      <c r="AJ242" s="10"/>
      <c r="AK242" s="29"/>
      <c r="AL242" s="12">
        <v>1.6986301369863011</v>
      </c>
      <c r="AM242" s="10"/>
      <c r="AN242" s="12">
        <f>FAR[[#This Row],[Opening RUL]]+FAR[[#This Row],[RUL Adjustment]]</f>
        <v>1.6986301369863011</v>
      </c>
      <c r="AO242" s="12">
        <f>FAR[[#This Row],[Opening RUL 30 June 2026]]-1</f>
        <v>0.69863013698630105</v>
      </c>
      <c r="AP242" s="12" t="s">
        <v>1050</v>
      </c>
      <c r="AQ242" s="139"/>
      <c r="AR242" s="10" t="s">
        <v>127</v>
      </c>
      <c r="AS242" s="13">
        <v>5078.62</v>
      </c>
      <c r="AT242" s="13"/>
      <c r="AU242" s="13">
        <v>0</v>
      </c>
      <c r="AV242" s="13">
        <v>0</v>
      </c>
      <c r="AW242" s="13">
        <v>0</v>
      </c>
      <c r="AX242" s="13">
        <v>5078.62</v>
      </c>
      <c r="AY242" s="13">
        <v>92.250265087422122</v>
      </c>
      <c r="AZ242" s="13">
        <v>0</v>
      </c>
      <c r="BA242" s="13"/>
      <c r="BB242" s="13"/>
      <c r="BC242" s="13">
        <v>-4986.3697349125778</v>
      </c>
      <c r="BD242" s="13"/>
      <c r="BE242" s="13" t="s">
        <v>114</v>
      </c>
      <c r="BF242" s="29"/>
      <c r="BG242" s="13"/>
      <c r="BH242" s="13">
        <f>-FAR[[#This Row],[Carrying value (opening balance)]]/FAR[[#This Row],[Opening RUL 30 June 2026]]</f>
        <v>-54.308623801466261</v>
      </c>
      <c r="BI242" s="13">
        <f>FAR[[#This Row],[Depreciation YTD]]/12</f>
        <v>-4.5257186501221884</v>
      </c>
      <c r="BJ242" s="13"/>
      <c r="BK242" s="13" t="s">
        <v>116</v>
      </c>
      <c r="BL242" s="13">
        <v>0</v>
      </c>
      <c r="BM242" s="13">
        <f>FAR[[#This Row],[Accumulated depreciation (Opening balance)]]+FAR[[#This Row],[Depreciation YTD]]+FAR[[#This Row],[Derecognitions (acc dep) '[+']]]</f>
        <v>-5040.6783587140444</v>
      </c>
      <c r="BN242" s="13"/>
      <c r="BO242" s="13"/>
      <c r="BP242" s="13"/>
      <c r="BQ242" s="13"/>
      <c r="BR24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42" s="13">
        <f>FAR[[#This Row],[Cost Price (closing balance)]]+FAR[[#This Row],[Accumulated depreciation (Closing balance)]]+FAR[[#This Row],[Accumulated impairments (Closing balance)]]</f>
        <v>37.941641285955484</v>
      </c>
      <c r="BT242" s="13"/>
      <c r="BU242" s="13"/>
      <c r="BV242" s="13"/>
      <c r="BW242" s="10" t="s">
        <v>167</v>
      </c>
      <c r="BX242" s="9" t="s">
        <v>168</v>
      </c>
      <c r="BY242" s="10"/>
      <c r="BZ242" t="s">
        <v>940</v>
      </c>
      <c r="CA242"/>
      <c r="CB242" s="34"/>
      <c r="CC242" s="34"/>
      <c r="CD242" s="34"/>
      <c r="CE242" s="141"/>
    </row>
    <row r="243" spans="1:83">
      <c r="A243" s="35" t="s">
        <v>413</v>
      </c>
      <c r="B243" s="9">
        <v>0</v>
      </c>
      <c r="C243" s="9" t="s">
        <v>54</v>
      </c>
      <c r="D243" s="10" t="s">
        <v>1</v>
      </c>
      <c r="E243" s="9" t="s">
        <v>115</v>
      </c>
      <c r="F243" s="36" t="s">
        <v>99</v>
      </c>
      <c r="G243" s="9" t="s">
        <v>100</v>
      </c>
      <c r="H243" s="3" t="s">
        <v>128</v>
      </c>
      <c r="I243" s="9" t="s">
        <v>100</v>
      </c>
      <c r="J243" s="36" t="s">
        <v>101</v>
      </c>
      <c r="K243" s="10" t="s">
        <v>559</v>
      </c>
      <c r="L243" s="10" t="s">
        <v>559</v>
      </c>
      <c r="M243" s="9" t="s">
        <v>100</v>
      </c>
      <c r="N243" s="10" t="s">
        <v>536</v>
      </c>
      <c r="O243" s="9" t="s">
        <v>100</v>
      </c>
      <c r="P243" s="10"/>
      <c r="Q243" s="10" t="s">
        <v>536</v>
      </c>
      <c r="R243" s="10" t="s">
        <v>119</v>
      </c>
      <c r="S243" s="10" t="s">
        <v>130</v>
      </c>
      <c r="T243" s="10" t="s">
        <v>120</v>
      </c>
      <c r="U243" s="10" t="s">
        <v>101</v>
      </c>
      <c r="V243" s="10" t="s">
        <v>121</v>
      </c>
      <c r="W243" s="10" t="s">
        <v>122</v>
      </c>
      <c r="X243" s="10" t="s">
        <v>123</v>
      </c>
      <c r="Y243" s="29">
        <v>1</v>
      </c>
      <c r="Z243" s="138" t="s">
        <v>594</v>
      </c>
      <c r="AA243" s="138">
        <v>42807</v>
      </c>
      <c r="AB243" s="9" t="s">
        <v>114</v>
      </c>
      <c r="AC243" s="9" t="s">
        <v>124</v>
      </c>
      <c r="AD243" s="15">
        <v>44651</v>
      </c>
      <c r="AE243" s="39" t="s">
        <v>125</v>
      </c>
      <c r="AF243" s="177">
        <v>6</v>
      </c>
      <c r="AG243" s="140">
        <v>0</v>
      </c>
      <c r="AH243" s="9">
        <v>0</v>
      </c>
      <c r="AI243" s="10" t="s">
        <v>126</v>
      </c>
      <c r="AJ243" s="10"/>
      <c r="AK243" s="29"/>
      <c r="AL243" s="12">
        <v>1.6986301369863011</v>
      </c>
      <c r="AM243" s="10"/>
      <c r="AN243" s="12">
        <f>FAR[[#This Row],[Opening RUL]]+FAR[[#This Row],[RUL Adjustment]]</f>
        <v>1.6986301369863011</v>
      </c>
      <c r="AO243" s="12">
        <f>FAR[[#This Row],[Opening RUL 30 June 2026]]-1</f>
        <v>0.69863013698630105</v>
      </c>
      <c r="AP243" s="12">
        <v>0</v>
      </c>
      <c r="AQ243" s="139"/>
      <c r="AR243" s="10" t="s">
        <v>127</v>
      </c>
      <c r="AS243" s="13">
        <v>4519.99</v>
      </c>
      <c r="AT243" s="13"/>
      <c r="AU243" s="13">
        <v>0</v>
      </c>
      <c r="AV243" s="13">
        <v>0</v>
      </c>
      <c r="AW243" s="13">
        <v>0</v>
      </c>
      <c r="AX243" s="13">
        <v>4519.99</v>
      </c>
      <c r="AY243" s="13">
        <v>82.102617033277056</v>
      </c>
      <c r="AZ243" s="13">
        <v>0</v>
      </c>
      <c r="BA243" s="13"/>
      <c r="BB243" s="13"/>
      <c r="BC243" s="13">
        <v>-4437.8873829667227</v>
      </c>
      <c r="BD243" s="13"/>
      <c r="BE243" s="13" t="s">
        <v>114</v>
      </c>
      <c r="BF243" s="29"/>
      <c r="BG243" s="13"/>
      <c r="BH243" s="13">
        <f>-FAR[[#This Row],[Carrying value (opening balance)]]/FAR[[#This Row],[Opening RUL 30 June 2026]]</f>
        <v>-48.334605188945375</v>
      </c>
      <c r="BI243" s="13">
        <f>FAR[[#This Row],[Depreciation YTD]]/12</f>
        <v>-4.0278837657454476</v>
      </c>
      <c r="BJ243" s="13"/>
      <c r="BK243" s="13" t="s">
        <v>116</v>
      </c>
      <c r="BL243" s="13">
        <v>0</v>
      </c>
      <c r="BM243" s="13">
        <f>FAR[[#This Row],[Accumulated depreciation (Opening balance)]]+FAR[[#This Row],[Depreciation YTD]]+FAR[[#This Row],[Derecognitions (acc dep) '[+']]]</f>
        <v>-4486.2219881556684</v>
      </c>
      <c r="BN243" s="13"/>
      <c r="BO243" s="13"/>
      <c r="BP243" s="13"/>
      <c r="BQ243" s="13"/>
      <c r="BR24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43" s="13">
        <f>FAR[[#This Row],[Cost Price (closing balance)]]+FAR[[#This Row],[Accumulated depreciation (Closing balance)]]+FAR[[#This Row],[Accumulated impairments (Closing balance)]]</f>
        <v>33.76801184433134</v>
      </c>
      <c r="BT243" s="13"/>
      <c r="BU243" s="13"/>
      <c r="BV243" s="13"/>
      <c r="BW243" s="10" t="s">
        <v>167</v>
      </c>
      <c r="BX243" s="9" t="s">
        <v>168</v>
      </c>
      <c r="BY243" s="10"/>
      <c r="BZ243">
        <v>0</v>
      </c>
      <c r="CA243"/>
      <c r="CB243" s="34"/>
      <c r="CC243" s="34"/>
      <c r="CD243" s="34"/>
      <c r="CE243" s="141"/>
    </row>
    <row r="244" spans="1:83">
      <c r="A244" s="35" t="s">
        <v>414</v>
      </c>
      <c r="B244" s="9" t="s">
        <v>863</v>
      </c>
      <c r="C244" s="9" t="s">
        <v>54</v>
      </c>
      <c r="D244" s="10" t="s">
        <v>1</v>
      </c>
      <c r="E244" s="9" t="s">
        <v>115</v>
      </c>
      <c r="F244" s="36" t="s">
        <v>99</v>
      </c>
      <c r="G244" s="9" t="s">
        <v>100</v>
      </c>
      <c r="H244" s="3" t="s">
        <v>128</v>
      </c>
      <c r="I244" s="9" t="s">
        <v>100</v>
      </c>
      <c r="J244" s="36" t="s">
        <v>101</v>
      </c>
      <c r="K244" s="10" t="s">
        <v>559</v>
      </c>
      <c r="L244" s="10" t="s">
        <v>559</v>
      </c>
      <c r="M244" s="9" t="s">
        <v>100</v>
      </c>
      <c r="N244" s="10" t="s">
        <v>537</v>
      </c>
      <c r="O244" s="9" t="s">
        <v>100</v>
      </c>
      <c r="P244" s="10"/>
      <c r="Q244" s="10" t="s">
        <v>537</v>
      </c>
      <c r="R244" s="10" t="s">
        <v>119</v>
      </c>
      <c r="S244" s="10" t="s">
        <v>130</v>
      </c>
      <c r="T244" s="10" t="s">
        <v>120</v>
      </c>
      <c r="U244" s="10" t="s">
        <v>101</v>
      </c>
      <c r="V244" s="10" t="s">
        <v>121</v>
      </c>
      <c r="W244" s="10" t="s">
        <v>122</v>
      </c>
      <c r="X244" s="10" t="s">
        <v>123</v>
      </c>
      <c r="Y244" s="29">
        <v>1</v>
      </c>
      <c r="Z244" s="138" t="s">
        <v>594</v>
      </c>
      <c r="AA244" s="138">
        <v>42807</v>
      </c>
      <c r="AB244" s="9" t="s">
        <v>114</v>
      </c>
      <c r="AC244" s="9" t="s">
        <v>124</v>
      </c>
      <c r="AD244" s="15">
        <v>44651</v>
      </c>
      <c r="AE244" s="39" t="s">
        <v>125</v>
      </c>
      <c r="AF244" s="177">
        <v>6</v>
      </c>
      <c r="AG244" s="140">
        <v>0</v>
      </c>
      <c r="AH244" s="9">
        <v>0</v>
      </c>
      <c r="AI244" s="10" t="s">
        <v>126</v>
      </c>
      <c r="AJ244" s="10"/>
      <c r="AK244" s="29"/>
      <c r="AL244" s="12">
        <v>1.6986301369863011</v>
      </c>
      <c r="AM244" s="10"/>
      <c r="AN244" s="12">
        <f>FAR[[#This Row],[Opening RUL]]+FAR[[#This Row],[RUL Adjustment]]</f>
        <v>1.6986301369863011</v>
      </c>
      <c r="AO244" s="12">
        <f>FAR[[#This Row],[Opening RUL 30 June 2026]]-1</f>
        <v>0.69863013698630105</v>
      </c>
      <c r="AP244" s="12" t="s">
        <v>1050</v>
      </c>
      <c r="AQ244" s="139"/>
      <c r="AR244" s="10" t="s">
        <v>127</v>
      </c>
      <c r="AS244" s="13">
        <v>8095.26</v>
      </c>
      <c r="AT244" s="13"/>
      <c r="AU244" s="13">
        <v>0</v>
      </c>
      <c r="AV244" s="13">
        <v>0</v>
      </c>
      <c r="AW244" s="13">
        <v>0</v>
      </c>
      <c r="AX244" s="13">
        <v>8095.26</v>
      </c>
      <c r="AY244" s="13">
        <v>147.04637563451797</v>
      </c>
      <c r="AZ244" s="13">
        <v>0</v>
      </c>
      <c r="BA244" s="13"/>
      <c r="BB244" s="13"/>
      <c r="BC244" s="13">
        <v>-7948.2136243654822</v>
      </c>
      <c r="BD244" s="13"/>
      <c r="BE244" s="13" t="s">
        <v>114</v>
      </c>
      <c r="BF244" s="29"/>
      <c r="BG244" s="13"/>
      <c r="BH244" s="13">
        <f>-FAR[[#This Row],[Carrying value (opening balance)]]/FAR[[#This Row],[Opening RUL 30 June 2026]]</f>
        <v>-86.567624365482374</v>
      </c>
      <c r="BI244" s="13">
        <f>FAR[[#This Row],[Depreciation YTD]]/12</f>
        <v>-7.2139686971235308</v>
      </c>
      <c r="BJ244" s="13"/>
      <c r="BK244" s="13" t="s">
        <v>116</v>
      </c>
      <c r="BL244" s="13">
        <v>0</v>
      </c>
      <c r="BM244" s="13">
        <f>FAR[[#This Row],[Accumulated depreciation (Opening balance)]]+FAR[[#This Row],[Depreciation YTD]]+FAR[[#This Row],[Derecognitions (acc dep) '[+']]]</f>
        <v>-8034.7812487309648</v>
      </c>
      <c r="BN244" s="13"/>
      <c r="BO244" s="13"/>
      <c r="BP244" s="13"/>
      <c r="BQ244" s="13"/>
      <c r="BR24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44" s="13">
        <f>FAR[[#This Row],[Cost Price (closing balance)]]+FAR[[#This Row],[Accumulated depreciation (Closing balance)]]+FAR[[#This Row],[Accumulated impairments (Closing balance)]]</f>
        <v>60.478751269035456</v>
      </c>
      <c r="BT244" s="13"/>
      <c r="BU244" s="13"/>
      <c r="BV244" s="13"/>
      <c r="BW244" s="10" t="s">
        <v>167</v>
      </c>
      <c r="BX244" s="9" t="s">
        <v>168</v>
      </c>
      <c r="BY244" s="10"/>
      <c r="BZ244" t="s">
        <v>947</v>
      </c>
      <c r="CA244"/>
      <c r="CB244" s="34"/>
      <c r="CC244" s="34"/>
      <c r="CD244" s="34"/>
      <c r="CE244" s="141"/>
    </row>
    <row r="245" spans="1:83">
      <c r="A245" s="35" t="s">
        <v>415</v>
      </c>
      <c r="B245" s="9" t="s">
        <v>914</v>
      </c>
      <c r="C245" s="9" t="s">
        <v>54</v>
      </c>
      <c r="D245" s="10" t="s">
        <v>1</v>
      </c>
      <c r="E245" s="9" t="s">
        <v>115</v>
      </c>
      <c r="F245" s="36" t="s">
        <v>99</v>
      </c>
      <c r="G245" s="9" t="s">
        <v>100</v>
      </c>
      <c r="H245" s="3" t="s">
        <v>128</v>
      </c>
      <c r="I245" s="9" t="s">
        <v>100</v>
      </c>
      <c r="J245" s="36" t="s">
        <v>101</v>
      </c>
      <c r="K245" s="10" t="s">
        <v>559</v>
      </c>
      <c r="L245" s="10" t="s">
        <v>559</v>
      </c>
      <c r="M245" s="9" t="s">
        <v>100</v>
      </c>
      <c r="N245" s="10" t="s">
        <v>538</v>
      </c>
      <c r="O245" s="9" t="s">
        <v>100</v>
      </c>
      <c r="P245" s="10"/>
      <c r="Q245" s="10" t="s">
        <v>538</v>
      </c>
      <c r="R245" s="10" t="s">
        <v>119</v>
      </c>
      <c r="S245" s="10" t="s">
        <v>130</v>
      </c>
      <c r="T245" s="10" t="s">
        <v>120</v>
      </c>
      <c r="U245" s="10" t="s">
        <v>101</v>
      </c>
      <c r="V245" s="10" t="s">
        <v>121</v>
      </c>
      <c r="W245" s="10" t="s">
        <v>122</v>
      </c>
      <c r="X245" s="10" t="s">
        <v>123</v>
      </c>
      <c r="Y245" s="29">
        <v>1</v>
      </c>
      <c r="Z245" s="138" t="s">
        <v>594</v>
      </c>
      <c r="AA245" s="138">
        <v>42807</v>
      </c>
      <c r="AB245" s="9" t="s">
        <v>114</v>
      </c>
      <c r="AC245" s="9" t="s">
        <v>124</v>
      </c>
      <c r="AD245" s="15">
        <v>44651</v>
      </c>
      <c r="AE245" s="39" t="s">
        <v>125</v>
      </c>
      <c r="AF245" s="177">
        <v>6</v>
      </c>
      <c r="AG245" s="140">
        <v>0</v>
      </c>
      <c r="AH245" s="9">
        <v>0</v>
      </c>
      <c r="AI245" s="10" t="s">
        <v>126</v>
      </c>
      <c r="AJ245" s="10"/>
      <c r="AK245" s="29"/>
      <c r="AL245" s="12">
        <v>1.6986301369863011</v>
      </c>
      <c r="AM245" s="10"/>
      <c r="AN245" s="12">
        <f>FAR[[#This Row],[Opening RUL]]+FAR[[#This Row],[RUL Adjustment]]</f>
        <v>1.6986301369863011</v>
      </c>
      <c r="AO245" s="12">
        <f>FAR[[#This Row],[Opening RUL 30 June 2026]]-1</f>
        <v>0.69863013698630105</v>
      </c>
      <c r="AP245" s="12" t="s">
        <v>1050</v>
      </c>
      <c r="AQ245" s="139"/>
      <c r="AR245" s="10" t="s">
        <v>127</v>
      </c>
      <c r="AS245" s="13">
        <v>8095.26</v>
      </c>
      <c r="AT245" s="13"/>
      <c r="AU245" s="13">
        <v>0</v>
      </c>
      <c r="AV245" s="13">
        <v>0</v>
      </c>
      <c r="AW245" s="13">
        <v>0</v>
      </c>
      <c r="AX245" s="13">
        <v>8095.26</v>
      </c>
      <c r="AY245" s="13">
        <v>147.04637563451797</v>
      </c>
      <c r="AZ245" s="13">
        <v>0</v>
      </c>
      <c r="BA245" s="13"/>
      <c r="BB245" s="13"/>
      <c r="BC245" s="13">
        <v>-7948.2136243654822</v>
      </c>
      <c r="BD245" s="13"/>
      <c r="BE245" s="13" t="s">
        <v>114</v>
      </c>
      <c r="BF245" s="29"/>
      <c r="BG245" s="13"/>
      <c r="BH245" s="13">
        <f>-FAR[[#This Row],[Carrying value (opening balance)]]/FAR[[#This Row],[Opening RUL 30 June 2026]]</f>
        <v>-86.567624365482374</v>
      </c>
      <c r="BI245" s="13">
        <f>FAR[[#This Row],[Depreciation YTD]]/12</f>
        <v>-7.2139686971235308</v>
      </c>
      <c r="BJ245" s="13"/>
      <c r="BK245" s="13" t="s">
        <v>116</v>
      </c>
      <c r="BL245" s="13">
        <v>0</v>
      </c>
      <c r="BM245" s="13">
        <f>FAR[[#This Row],[Accumulated depreciation (Opening balance)]]+FAR[[#This Row],[Depreciation YTD]]+FAR[[#This Row],[Derecognitions (acc dep) '[+']]]</f>
        <v>-8034.7812487309648</v>
      </c>
      <c r="BN245" s="13"/>
      <c r="BO245" s="13"/>
      <c r="BP245" s="13"/>
      <c r="BQ245" s="13"/>
      <c r="BR24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45" s="13">
        <f>FAR[[#This Row],[Cost Price (closing balance)]]+FAR[[#This Row],[Accumulated depreciation (Closing balance)]]+FAR[[#This Row],[Accumulated impairments (Closing balance)]]</f>
        <v>60.478751269035456</v>
      </c>
      <c r="BT245" s="13"/>
      <c r="BU245" s="13"/>
      <c r="BV245" s="13"/>
      <c r="BW245" s="10" t="s">
        <v>167</v>
      </c>
      <c r="BX245" s="9" t="s">
        <v>168</v>
      </c>
      <c r="BY245" s="10"/>
      <c r="BZ245" t="s">
        <v>938</v>
      </c>
      <c r="CA245"/>
      <c r="CB245" s="34"/>
      <c r="CC245" s="34"/>
      <c r="CD245" s="34"/>
      <c r="CE245" s="141"/>
    </row>
    <row r="246" spans="1:83">
      <c r="A246" s="35" t="s">
        <v>416</v>
      </c>
      <c r="B246" s="9" t="s">
        <v>863</v>
      </c>
      <c r="C246" s="9" t="s">
        <v>54</v>
      </c>
      <c r="D246" s="10" t="s">
        <v>1</v>
      </c>
      <c r="E246" s="9" t="s">
        <v>115</v>
      </c>
      <c r="F246" s="36" t="s">
        <v>99</v>
      </c>
      <c r="G246" s="9" t="s">
        <v>100</v>
      </c>
      <c r="H246" s="3" t="s">
        <v>128</v>
      </c>
      <c r="I246" s="9" t="s">
        <v>100</v>
      </c>
      <c r="J246" s="36" t="s">
        <v>101</v>
      </c>
      <c r="K246" s="10" t="s">
        <v>559</v>
      </c>
      <c r="L246" s="10" t="s">
        <v>559</v>
      </c>
      <c r="M246" s="9" t="s">
        <v>100</v>
      </c>
      <c r="N246" s="10" t="s">
        <v>538</v>
      </c>
      <c r="O246" s="9" t="s">
        <v>100</v>
      </c>
      <c r="P246" s="10"/>
      <c r="Q246" s="10" t="s">
        <v>538</v>
      </c>
      <c r="R246" s="10" t="s">
        <v>119</v>
      </c>
      <c r="S246" s="10" t="s">
        <v>130</v>
      </c>
      <c r="T246" s="10" t="s">
        <v>120</v>
      </c>
      <c r="U246" s="10" t="s">
        <v>101</v>
      </c>
      <c r="V246" s="10" t="s">
        <v>121</v>
      </c>
      <c r="W246" s="10" t="s">
        <v>122</v>
      </c>
      <c r="X246" s="10" t="s">
        <v>123</v>
      </c>
      <c r="Y246" s="29">
        <v>1</v>
      </c>
      <c r="Z246" s="138" t="s">
        <v>594</v>
      </c>
      <c r="AA246" s="138">
        <v>42807</v>
      </c>
      <c r="AB246" s="9" t="s">
        <v>114</v>
      </c>
      <c r="AC246" s="9" t="s">
        <v>124</v>
      </c>
      <c r="AD246" s="15">
        <v>44651</v>
      </c>
      <c r="AE246" s="39" t="s">
        <v>125</v>
      </c>
      <c r="AF246" s="177">
        <v>6</v>
      </c>
      <c r="AG246" s="140">
        <v>0</v>
      </c>
      <c r="AH246" s="9">
        <v>0</v>
      </c>
      <c r="AI246" s="10" t="s">
        <v>126</v>
      </c>
      <c r="AJ246" s="10"/>
      <c r="AK246" s="29"/>
      <c r="AL246" s="12">
        <v>1.6986301369863011</v>
      </c>
      <c r="AM246" s="10"/>
      <c r="AN246" s="12">
        <f>FAR[[#This Row],[Opening RUL]]+FAR[[#This Row],[RUL Adjustment]]</f>
        <v>1.6986301369863011</v>
      </c>
      <c r="AO246" s="12">
        <f>FAR[[#This Row],[Opening RUL 30 June 2026]]-1</f>
        <v>0.69863013698630105</v>
      </c>
      <c r="AP246" s="12" t="s">
        <v>1050</v>
      </c>
      <c r="AQ246" s="139"/>
      <c r="AR246" s="10" t="s">
        <v>127</v>
      </c>
      <c r="AS246" s="13">
        <v>8095.26</v>
      </c>
      <c r="AT246" s="13"/>
      <c r="AU246" s="13">
        <v>0</v>
      </c>
      <c r="AV246" s="13">
        <v>0</v>
      </c>
      <c r="AW246" s="13">
        <v>0</v>
      </c>
      <c r="AX246" s="13">
        <v>8095.26</v>
      </c>
      <c r="AY246" s="13">
        <v>147.04637563451797</v>
      </c>
      <c r="AZ246" s="13">
        <v>0</v>
      </c>
      <c r="BA246" s="13"/>
      <c r="BB246" s="13"/>
      <c r="BC246" s="13">
        <v>-7948.2136243654822</v>
      </c>
      <c r="BD246" s="13"/>
      <c r="BE246" s="13" t="s">
        <v>114</v>
      </c>
      <c r="BF246" s="29"/>
      <c r="BG246" s="13"/>
      <c r="BH246" s="13">
        <f>-FAR[[#This Row],[Carrying value (opening balance)]]/FAR[[#This Row],[Opening RUL 30 June 2026]]</f>
        <v>-86.567624365482374</v>
      </c>
      <c r="BI246" s="13">
        <f>FAR[[#This Row],[Depreciation YTD]]/12</f>
        <v>-7.2139686971235308</v>
      </c>
      <c r="BJ246" s="13"/>
      <c r="BK246" s="13" t="s">
        <v>116</v>
      </c>
      <c r="BL246" s="13">
        <v>0</v>
      </c>
      <c r="BM246" s="13">
        <f>FAR[[#This Row],[Accumulated depreciation (Opening balance)]]+FAR[[#This Row],[Depreciation YTD]]+FAR[[#This Row],[Derecognitions (acc dep) '[+']]]</f>
        <v>-8034.7812487309648</v>
      </c>
      <c r="BN246" s="13"/>
      <c r="BO246" s="13"/>
      <c r="BP246" s="13"/>
      <c r="BQ246" s="13"/>
      <c r="BR24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46" s="13">
        <f>FAR[[#This Row],[Cost Price (closing balance)]]+FAR[[#This Row],[Accumulated depreciation (Closing balance)]]+FAR[[#This Row],[Accumulated impairments (Closing balance)]]</f>
        <v>60.478751269035456</v>
      </c>
      <c r="BT246" s="13"/>
      <c r="BU246" s="13"/>
      <c r="BV246" s="13"/>
      <c r="BW246" s="10" t="s">
        <v>167</v>
      </c>
      <c r="BX246" s="9" t="s">
        <v>168</v>
      </c>
      <c r="BY246" s="10"/>
      <c r="BZ246" t="s">
        <v>947</v>
      </c>
      <c r="CA246"/>
      <c r="CB246" s="34"/>
      <c r="CC246" s="34"/>
      <c r="CD246" s="34"/>
      <c r="CE246" s="141"/>
    </row>
    <row r="247" spans="1:83">
      <c r="A247" s="35" t="s">
        <v>417</v>
      </c>
      <c r="B247" s="9" t="s">
        <v>859</v>
      </c>
      <c r="C247" s="9" t="s">
        <v>54</v>
      </c>
      <c r="D247" s="10" t="s">
        <v>1</v>
      </c>
      <c r="E247" s="9" t="s">
        <v>115</v>
      </c>
      <c r="F247" s="36" t="s">
        <v>99</v>
      </c>
      <c r="G247" s="9" t="s">
        <v>100</v>
      </c>
      <c r="H247" s="3" t="s">
        <v>128</v>
      </c>
      <c r="I247" s="9" t="s">
        <v>100</v>
      </c>
      <c r="J247" s="36" t="s">
        <v>101</v>
      </c>
      <c r="K247" s="10" t="s">
        <v>559</v>
      </c>
      <c r="L247" s="10" t="s">
        <v>559</v>
      </c>
      <c r="M247" s="9" t="s">
        <v>100</v>
      </c>
      <c r="N247" s="10" t="s">
        <v>538</v>
      </c>
      <c r="O247" s="9" t="s">
        <v>100</v>
      </c>
      <c r="P247" s="10"/>
      <c r="Q247" s="10" t="s">
        <v>538</v>
      </c>
      <c r="R247" s="10" t="s">
        <v>119</v>
      </c>
      <c r="S247" s="10" t="s">
        <v>130</v>
      </c>
      <c r="T247" s="10" t="s">
        <v>120</v>
      </c>
      <c r="U247" s="10" t="s">
        <v>101</v>
      </c>
      <c r="V247" s="10" t="s">
        <v>121</v>
      </c>
      <c r="W247" s="10" t="s">
        <v>122</v>
      </c>
      <c r="X247" s="10" t="s">
        <v>123</v>
      </c>
      <c r="Y247" s="29">
        <v>1</v>
      </c>
      <c r="Z247" s="138" t="s">
        <v>594</v>
      </c>
      <c r="AA247" s="138">
        <v>42807</v>
      </c>
      <c r="AB247" s="9" t="s">
        <v>114</v>
      </c>
      <c r="AC247" s="9" t="s">
        <v>124</v>
      </c>
      <c r="AD247" s="15">
        <v>44651</v>
      </c>
      <c r="AE247" s="39" t="s">
        <v>125</v>
      </c>
      <c r="AF247" s="177">
        <v>6</v>
      </c>
      <c r="AG247" s="140">
        <v>0</v>
      </c>
      <c r="AH247" s="9">
        <v>0</v>
      </c>
      <c r="AI247" s="10" t="s">
        <v>126</v>
      </c>
      <c r="AJ247" s="10"/>
      <c r="AK247" s="29"/>
      <c r="AL247" s="12">
        <v>1.6986301369863011</v>
      </c>
      <c r="AM247" s="10"/>
      <c r="AN247" s="12">
        <f>FAR[[#This Row],[Opening RUL]]+FAR[[#This Row],[RUL Adjustment]]</f>
        <v>1.6986301369863011</v>
      </c>
      <c r="AO247" s="12">
        <f>FAR[[#This Row],[Opening RUL 30 June 2026]]-1</f>
        <v>0.69863013698630105</v>
      </c>
      <c r="AP247" s="12" t="s">
        <v>1050</v>
      </c>
      <c r="AQ247" s="139"/>
      <c r="AR247" s="10" t="s">
        <v>127</v>
      </c>
      <c r="AS247" s="13">
        <v>8095.26</v>
      </c>
      <c r="AT247" s="13"/>
      <c r="AU247" s="13">
        <v>0</v>
      </c>
      <c r="AV247" s="13">
        <v>0</v>
      </c>
      <c r="AW247" s="13">
        <v>0</v>
      </c>
      <c r="AX247" s="13">
        <v>8095.26</v>
      </c>
      <c r="AY247" s="13">
        <v>147.04637563451797</v>
      </c>
      <c r="AZ247" s="13">
        <v>0</v>
      </c>
      <c r="BA247" s="13"/>
      <c r="BB247" s="13"/>
      <c r="BC247" s="13">
        <v>-7948.2136243654822</v>
      </c>
      <c r="BD247" s="13"/>
      <c r="BE247" s="13" t="s">
        <v>114</v>
      </c>
      <c r="BF247" s="29"/>
      <c r="BG247" s="13"/>
      <c r="BH247" s="13">
        <f>-FAR[[#This Row],[Carrying value (opening balance)]]/FAR[[#This Row],[Opening RUL 30 June 2026]]</f>
        <v>-86.567624365482374</v>
      </c>
      <c r="BI247" s="13">
        <f>FAR[[#This Row],[Depreciation YTD]]/12</f>
        <v>-7.2139686971235308</v>
      </c>
      <c r="BJ247" s="13"/>
      <c r="BK247" s="13" t="s">
        <v>116</v>
      </c>
      <c r="BL247" s="13">
        <v>0</v>
      </c>
      <c r="BM247" s="13">
        <f>FAR[[#This Row],[Accumulated depreciation (Opening balance)]]+FAR[[#This Row],[Depreciation YTD]]+FAR[[#This Row],[Derecognitions (acc dep) '[+']]]</f>
        <v>-8034.7812487309648</v>
      </c>
      <c r="BN247" s="13"/>
      <c r="BO247" s="13"/>
      <c r="BP247" s="13"/>
      <c r="BQ247" s="13"/>
      <c r="BR24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47" s="13">
        <f>FAR[[#This Row],[Cost Price (closing balance)]]+FAR[[#This Row],[Accumulated depreciation (Closing balance)]]+FAR[[#This Row],[Accumulated impairments (Closing balance)]]</f>
        <v>60.478751269035456</v>
      </c>
      <c r="BT247" s="13"/>
      <c r="BU247" s="13"/>
      <c r="BV247" s="13"/>
      <c r="BW247" s="10" t="s">
        <v>167</v>
      </c>
      <c r="BX247" s="9" t="s">
        <v>168</v>
      </c>
      <c r="BY247" s="10"/>
      <c r="BZ247" t="s">
        <v>938</v>
      </c>
      <c r="CA247"/>
      <c r="CB247" s="34"/>
      <c r="CC247" s="34"/>
      <c r="CD247" s="34"/>
      <c r="CE247" s="141"/>
    </row>
    <row r="248" spans="1:83">
      <c r="A248" s="35" t="s">
        <v>418</v>
      </c>
      <c r="B248" s="9" t="s">
        <v>866</v>
      </c>
      <c r="C248" s="9" t="s">
        <v>54</v>
      </c>
      <c r="D248" s="10" t="s">
        <v>1</v>
      </c>
      <c r="E248" s="9" t="s">
        <v>115</v>
      </c>
      <c r="F248" s="36" t="s">
        <v>99</v>
      </c>
      <c r="G248" s="9" t="s">
        <v>100</v>
      </c>
      <c r="H248" s="3" t="s">
        <v>128</v>
      </c>
      <c r="I248" s="9" t="s">
        <v>100</v>
      </c>
      <c r="J248" s="36" t="s">
        <v>101</v>
      </c>
      <c r="K248" s="10" t="s">
        <v>559</v>
      </c>
      <c r="L248" s="10" t="s">
        <v>559</v>
      </c>
      <c r="M248" s="9" t="s">
        <v>100</v>
      </c>
      <c r="N248" s="10" t="s">
        <v>539</v>
      </c>
      <c r="O248" s="9" t="s">
        <v>100</v>
      </c>
      <c r="P248" s="10"/>
      <c r="Q248" s="10" t="s">
        <v>539</v>
      </c>
      <c r="R248" s="10" t="s">
        <v>119</v>
      </c>
      <c r="S248" s="10" t="s">
        <v>130</v>
      </c>
      <c r="T248" s="10" t="s">
        <v>120</v>
      </c>
      <c r="U248" s="10" t="s">
        <v>101</v>
      </c>
      <c r="V248" s="10" t="s">
        <v>121</v>
      </c>
      <c r="W248" s="10" t="s">
        <v>122</v>
      </c>
      <c r="X248" s="10" t="s">
        <v>123</v>
      </c>
      <c r="Y248" s="29">
        <v>1</v>
      </c>
      <c r="Z248" s="138" t="s">
        <v>594</v>
      </c>
      <c r="AA248" s="138">
        <v>42807</v>
      </c>
      <c r="AB248" s="9" t="s">
        <v>114</v>
      </c>
      <c r="AC248" s="9" t="s">
        <v>124</v>
      </c>
      <c r="AD248" s="15">
        <v>44651</v>
      </c>
      <c r="AE248" s="39" t="s">
        <v>125</v>
      </c>
      <c r="AF248" s="177">
        <v>6</v>
      </c>
      <c r="AG248" s="140">
        <v>0</v>
      </c>
      <c r="AH248" s="9">
        <v>0</v>
      </c>
      <c r="AI248" s="10" t="s">
        <v>126</v>
      </c>
      <c r="AJ248" s="10"/>
      <c r="AK248" s="29"/>
      <c r="AL248" s="12">
        <v>1.6986301369863011</v>
      </c>
      <c r="AM248" s="10"/>
      <c r="AN248" s="12">
        <f>FAR[[#This Row],[Opening RUL]]+FAR[[#This Row],[RUL Adjustment]]</f>
        <v>1.6986301369863011</v>
      </c>
      <c r="AO248" s="12">
        <f>FAR[[#This Row],[Opening RUL 30 June 2026]]-1</f>
        <v>0.69863013698630105</v>
      </c>
      <c r="AP248" s="12" t="s">
        <v>1050</v>
      </c>
      <c r="AQ248" s="139"/>
      <c r="AR248" s="10" t="s">
        <v>127</v>
      </c>
      <c r="AS248" s="13">
        <v>6975.22</v>
      </c>
      <c r="AT248" s="13"/>
      <c r="AU248" s="13">
        <v>0</v>
      </c>
      <c r="AV248" s="13">
        <v>0</v>
      </c>
      <c r="AW248" s="13">
        <v>0</v>
      </c>
      <c r="AX248" s="13">
        <v>6975.22</v>
      </c>
      <c r="AY248" s="13">
        <v>126.70114382402699</v>
      </c>
      <c r="AZ248" s="13">
        <v>0</v>
      </c>
      <c r="BA248" s="13"/>
      <c r="BB248" s="13"/>
      <c r="BC248" s="13">
        <v>-6848.5188561759733</v>
      </c>
      <c r="BD248" s="13"/>
      <c r="BE248" s="13" t="s">
        <v>114</v>
      </c>
      <c r="BF248" s="29"/>
      <c r="BG248" s="13"/>
      <c r="BH248" s="13">
        <f>-FAR[[#This Row],[Carrying value (opening balance)]]/FAR[[#This Row],[Opening RUL 30 June 2026]]</f>
        <v>-74.590189509306228</v>
      </c>
      <c r="BI248" s="13">
        <f>FAR[[#This Row],[Depreciation YTD]]/12</f>
        <v>-6.2158491257755193</v>
      </c>
      <c r="BJ248" s="13"/>
      <c r="BK248" s="13" t="s">
        <v>116</v>
      </c>
      <c r="BL248" s="13">
        <v>0</v>
      </c>
      <c r="BM248" s="13">
        <f>FAR[[#This Row],[Accumulated depreciation (Opening balance)]]+FAR[[#This Row],[Depreciation YTD]]+FAR[[#This Row],[Derecognitions (acc dep) '[+']]]</f>
        <v>-6923.1090456852799</v>
      </c>
      <c r="BN248" s="13"/>
      <c r="BO248" s="13"/>
      <c r="BP248" s="13"/>
      <c r="BQ248" s="13"/>
      <c r="BR24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48" s="13">
        <f>FAR[[#This Row],[Cost Price (closing balance)]]+FAR[[#This Row],[Accumulated depreciation (Closing balance)]]+FAR[[#This Row],[Accumulated impairments (Closing balance)]]</f>
        <v>52.110954314720402</v>
      </c>
      <c r="BT248" s="13"/>
      <c r="BU248" s="13"/>
      <c r="BV248" s="13"/>
      <c r="BW248" s="10" t="s">
        <v>167</v>
      </c>
      <c r="BX248" s="9" t="s">
        <v>168</v>
      </c>
      <c r="BY248" s="10"/>
      <c r="BZ248" t="s">
        <v>983</v>
      </c>
      <c r="CA248"/>
      <c r="CB248" s="34"/>
      <c r="CC248" s="34"/>
      <c r="CD248" s="34"/>
      <c r="CE248" s="141"/>
    </row>
    <row r="249" spans="1:83">
      <c r="A249" s="35" t="s">
        <v>419</v>
      </c>
      <c r="B249" s="9" t="s">
        <v>915</v>
      </c>
      <c r="C249" s="9" t="s">
        <v>54</v>
      </c>
      <c r="D249" s="10" t="s">
        <v>1</v>
      </c>
      <c r="E249" s="9" t="s">
        <v>115</v>
      </c>
      <c r="F249" s="36" t="s">
        <v>99</v>
      </c>
      <c r="G249" s="9" t="s">
        <v>100</v>
      </c>
      <c r="H249" s="3" t="s">
        <v>128</v>
      </c>
      <c r="I249" s="9" t="s">
        <v>100</v>
      </c>
      <c r="J249" s="36" t="s">
        <v>101</v>
      </c>
      <c r="K249" s="10" t="s">
        <v>559</v>
      </c>
      <c r="L249" s="10" t="s">
        <v>559</v>
      </c>
      <c r="M249" s="9" t="s">
        <v>100</v>
      </c>
      <c r="N249" s="10" t="s">
        <v>539</v>
      </c>
      <c r="O249" s="9" t="s">
        <v>100</v>
      </c>
      <c r="P249" s="10"/>
      <c r="Q249" s="10" t="s">
        <v>539</v>
      </c>
      <c r="R249" s="10" t="s">
        <v>119</v>
      </c>
      <c r="S249" s="10" t="s">
        <v>130</v>
      </c>
      <c r="T249" s="10" t="s">
        <v>120</v>
      </c>
      <c r="U249" s="10" t="s">
        <v>101</v>
      </c>
      <c r="V249" s="10" t="s">
        <v>121</v>
      </c>
      <c r="W249" s="10" t="s">
        <v>122</v>
      </c>
      <c r="X249" s="10" t="s">
        <v>123</v>
      </c>
      <c r="Y249" s="29">
        <v>1</v>
      </c>
      <c r="Z249" s="138" t="s">
        <v>594</v>
      </c>
      <c r="AA249" s="138">
        <v>42807</v>
      </c>
      <c r="AB249" s="9" t="s">
        <v>114</v>
      </c>
      <c r="AC249" s="9" t="s">
        <v>124</v>
      </c>
      <c r="AD249" s="15">
        <v>44651</v>
      </c>
      <c r="AE249" s="39" t="s">
        <v>125</v>
      </c>
      <c r="AF249" s="177">
        <v>6</v>
      </c>
      <c r="AG249" s="140">
        <v>0</v>
      </c>
      <c r="AH249" s="9">
        <v>0</v>
      </c>
      <c r="AI249" s="10" t="s">
        <v>126</v>
      </c>
      <c r="AJ249" s="10"/>
      <c r="AK249" s="29"/>
      <c r="AL249" s="12">
        <v>1.6986301369863011</v>
      </c>
      <c r="AM249" s="10"/>
      <c r="AN249" s="12">
        <f>FAR[[#This Row],[Opening RUL]]+FAR[[#This Row],[RUL Adjustment]]</f>
        <v>1.6986301369863011</v>
      </c>
      <c r="AO249" s="12">
        <f>FAR[[#This Row],[Opening RUL 30 June 2026]]-1</f>
        <v>0.69863013698630105</v>
      </c>
      <c r="AP249" s="12" t="s">
        <v>1050</v>
      </c>
      <c r="AQ249" s="139"/>
      <c r="AR249" s="10" t="s">
        <v>127</v>
      </c>
      <c r="AS249" s="13">
        <v>6975.22</v>
      </c>
      <c r="AT249" s="13"/>
      <c r="AU249" s="13">
        <v>0</v>
      </c>
      <c r="AV249" s="13">
        <v>0</v>
      </c>
      <c r="AW249" s="13">
        <v>0</v>
      </c>
      <c r="AX249" s="13">
        <v>6975.22</v>
      </c>
      <c r="AY249" s="13">
        <v>126.70114382402699</v>
      </c>
      <c r="AZ249" s="13">
        <v>0</v>
      </c>
      <c r="BA249" s="13"/>
      <c r="BB249" s="13"/>
      <c r="BC249" s="13">
        <v>-6848.5188561759733</v>
      </c>
      <c r="BD249" s="13"/>
      <c r="BE249" s="13" t="s">
        <v>114</v>
      </c>
      <c r="BF249" s="29"/>
      <c r="BG249" s="13"/>
      <c r="BH249" s="13">
        <f>-FAR[[#This Row],[Carrying value (opening balance)]]/FAR[[#This Row],[Opening RUL 30 June 2026]]</f>
        <v>-74.590189509306228</v>
      </c>
      <c r="BI249" s="13">
        <f>FAR[[#This Row],[Depreciation YTD]]/12</f>
        <v>-6.2158491257755193</v>
      </c>
      <c r="BJ249" s="13"/>
      <c r="BK249" s="13" t="s">
        <v>116</v>
      </c>
      <c r="BL249" s="13">
        <v>0</v>
      </c>
      <c r="BM249" s="13">
        <f>FAR[[#This Row],[Accumulated depreciation (Opening balance)]]+FAR[[#This Row],[Depreciation YTD]]+FAR[[#This Row],[Derecognitions (acc dep) '[+']]]</f>
        <v>-6923.1090456852799</v>
      </c>
      <c r="BN249" s="13"/>
      <c r="BO249" s="13"/>
      <c r="BP249" s="13"/>
      <c r="BQ249" s="13"/>
      <c r="BR24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49" s="13">
        <f>FAR[[#This Row],[Cost Price (closing balance)]]+FAR[[#This Row],[Accumulated depreciation (Closing balance)]]+FAR[[#This Row],[Accumulated impairments (Closing balance)]]</f>
        <v>52.110954314720402</v>
      </c>
      <c r="BT249" s="13"/>
      <c r="BU249" s="13"/>
      <c r="BV249" s="13"/>
      <c r="BW249" s="10" t="s">
        <v>167</v>
      </c>
      <c r="BX249" s="9" t="s">
        <v>168</v>
      </c>
      <c r="BY249" s="10"/>
      <c r="BZ249" t="s">
        <v>1014</v>
      </c>
      <c r="CA249"/>
      <c r="CB249" s="34"/>
      <c r="CC249" s="34"/>
      <c r="CD249" s="34"/>
      <c r="CE249" s="141"/>
    </row>
    <row r="250" spans="1:83">
      <c r="A250" s="35" t="s">
        <v>420</v>
      </c>
      <c r="B250" s="9" t="s">
        <v>915</v>
      </c>
      <c r="C250" s="9" t="s">
        <v>54</v>
      </c>
      <c r="D250" s="10" t="s">
        <v>1</v>
      </c>
      <c r="E250" s="9" t="s">
        <v>115</v>
      </c>
      <c r="F250" s="36" t="s">
        <v>99</v>
      </c>
      <c r="G250" s="9" t="s">
        <v>100</v>
      </c>
      <c r="H250" s="3" t="s">
        <v>128</v>
      </c>
      <c r="I250" s="9" t="s">
        <v>100</v>
      </c>
      <c r="J250" s="36" t="s">
        <v>101</v>
      </c>
      <c r="K250" s="10" t="s">
        <v>559</v>
      </c>
      <c r="L250" s="10" t="s">
        <v>559</v>
      </c>
      <c r="M250" s="9" t="s">
        <v>100</v>
      </c>
      <c r="N250" s="10" t="s">
        <v>539</v>
      </c>
      <c r="O250" s="9" t="s">
        <v>100</v>
      </c>
      <c r="P250" s="10"/>
      <c r="Q250" s="10" t="s">
        <v>539</v>
      </c>
      <c r="R250" s="10" t="s">
        <v>119</v>
      </c>
      <c r="S250" s="10" t="s">
        <v>130</v>
      </c>
      <c r="T250" s="10" t="s">
        <v>120</v>
      </c>
      <c r="U250" s="10" t="s">
        <v>101</v>
      </c>
      <c r="V250" s="10" t="s">
        <v>121</v>
      </c>
      <c r="W250" s="10" t="s">
        <v>122</v>
      </c>
      <c r="X250" s="10" t="s">
        <v>123</v>
      </c>
      <c r="Y250" s="29">
        <v>1</v>
      </c>
      <c r="Z250" s="138" t="s">
        <v>594</v>
      </c>
      <c r="AA250" s="138">
        <v>42807</v>
      </c>
      <c r="AB250" s="9" t="s">
        <v>114</v>
      </c>
      <c r="AC250" s="9" t="s">
        <v>124</v>
      </c>
      <c r="AD250" s="15">
        <v>44651</v>
      </c>
      <c r="AE250" s="39" t="s">
        <v>125</v>
      </c>
      <c r="AF250" s="177">
        <v>6</v>
      </c>
      <c r="AG250" s="140">
        <v>0</v>
      </c>
      <c r="AH250" s="9">
        <v>0</v>
      </c>
      <c r="AI250" s="10" t="s">
        <v>126</v>
      </c>
      <c r="AJ250" s="10"/>
      <c r="AK250" s="29"/>
      <c r="AL250" s="12">
        <v>1.6986301369863011</v>
      </c>
      <c r="AM250" s="10"/>
      <c r="AN250" s="12">
        <f>FAR[[#This Row],[Opening RUL]]+FAR[[#This Row],[RUL Adjustment]]</f>
        <v>1.6986301369863011</v>
      </c>
      <c r="AO250" s="12">
        <f>FAR[[#This Row],[Opening RUL 30 June 2026]]-1</f>
        <v>0.69863013698630105</v>
      </c>
      <c r="AP250" s="12" t="s">
        <v>1050</v>
      </c>
      <c r="AQ250" s="139"/>
      <c r="AR250" s="10" t="s">
        <v>127</v>
      </c>
      <c r="AS250" s="13">
        <v>6975.22</v>
      </c>
      <c r="AT250" s="13"/>
      <c r="AU250" s="13">
        <v>0</v>
      </c>
      <c r="AV250" s="13">
        <v>0</v>
      </c>
      <c r="AW250" s="13">
        <v>0</v>
      </c>
      <c r="AX250" s="13">
        <v>6975.22</v>
      </c>
      <c r="AY250" s="13">
        <v>126.70114382402699</v>
      </c>
      <c r="AZ250" s="13">
        <v>0</v>
      </c>
      <c r="BA250" s="13"/>
      <c r="BB250" s="13"/>
      <c r="BC250" s="13">
        <v>-6848.5188561759733</v>
      </c>
      <c r="BD250" s="13"/>
      <c r="BE250" s="13" t="s">
        <v>114</v>
      </c>
      <c r="BF250" s="29"/>
      <c r="BG250" s="13"/>
      <c r="BH250" s="13">
        <f>-FAR[[#This Row],[Carrying value (opening balance)]]/FAR[[#This Row],[Opening RUL 30 June 2026]]</f>
        <v>-74.590189509306228</v>
      </c>
      <c r="BI250" s="13">
        <f>FAR[[#This Row],[Depreciation YTD]]/12</f>
        <v>-6.2158491257755193</v>
      </c>
      <c r="BJ250" s="13"/>
      <c r="BK250" s="13" t="s">
        <v>116</v>
      </c>
      <c r="BL250" s="13">
        <v>0</v>
      </c>
      <c r="BM250" s="13">
        <f>FAR[[#This Row],[Accumulated depreciation (Opening balance)]]+FAR[[#This Row],[Depreciation YTD]]+FAR[[#This Row],[Derecognitions (acc dep) '[+']]]</f>
        <v>-6923.1090456852799</v>
      </c>
      <c r="BN250" s="13"/>
      <c r="BO250" s="13"/>
      <c r="BP250" s="13"/>
      <c r="BQ250" s="13"/>
      <c r="BR25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50" s="13">
        <f>FAR[[#This Row],[Cost Price (closing balance)]]+FAR[[#This Row],[Accumulated depreciation (Closing balance)]]+FAR[[#This Row],[Accumulated impairments (Closing balance)]]</f>
        <v>52.110954314720402</v>
      </c>
      <c r="BT250" s="13"/>
      <c r="BU250" s="13"/>
      <c r="BV250" s="13"/>
      <c r="BW250" s="10" t="s">
        <v>167</v>
      </c>
      <c r="BX250" s="9" t="s">
        <v>168</v>
      </c>
      <c r="BY250" s="10"/>
      <c r="BZ250" t="s">
        <v>1014</v>
      </c>
      <c r="CA250"/>
      <c r="CB250" s="34"/>
      <c r="CC250" s="34"/>
      <c r="CD250" s="34"/>
      <c r="CE250" s="141"/>
    </row>
    <row r="251" spans="1:83">
      <c r="A251" s="35" t="s">
        <v>421</v>
      </c>
      <c r="B251" s="9" t="s">
        <v>859</v>
      </c>
      <c r="C251" s="9" t="s">
        <v>54</v>
      </c>
      <c r="D251" s="10" t="s">
        <v>1</v>
      </c>
      <c r="E251" s="9" t="s">
        <v>115</v>
      </c>
      <c r="F251" s="36" t="s">
        <v>99</v>
      </c>
      <c r="G251" s="9" t="s">
        <v>100</v>
      </c>
      <c r="H251" s="3" t="s">
        <v>128</v>
      </c>
      <c r="I251" s="9" t="s">
        <v>100</v>
      </c>
      <c r="J251" s="36" t="s">
        <v>101</v>
      </c>
      <c r="K251" s="10" t="s">
        <v>559</v>
      </c>
      <c r="L251" s="10" t="s">
        <v>559</v>
      </c>
      <c r="M251" s="9" t="s">
        <v>100</v>
      </c>
      <c r="N251" s="10" t="s">
        <v>539</v>
      </c>
      <c r="O251" s="9" t="s">
        <v>100</v>
      </c>
      <c r="P251" s="10"/>
      <c r="Q251" s="10" t="s">
        <v>539</v>
      </c>
      <c r="R251" s="10" t="s">
        <v>119</v>
      </c>
      <c r="S251" s="10" t="s">
        <v>130</v>
      </c>
      <c r="T251" s="10" t="s">
        <v>120</v>
      </c>
      <c r="U251" s="10" t="s">
        <v>101</v>
      </c>
      <c r="V251" s="10" t="s">
        <v>121</v>
      </c>
      <c r="W251" s="10" t="s">
        <v>122</v>
      </c>
      <c r="X251" s="10" t="s">
        <v>123</v>
      </c>
      <c r="Y251" s="29">
        <v>1</v>
      </c>
      <c r="Z251" s="138" t="s">
        <v>594</v>
      </c>
      <c r="AA251" s="138">
        <v>42807</v>
      </c>
      <c r="AB251" s="9" t="s">
        <v>114</v>
      </c>
      <c r="AC251" s="9" t="s">
        <v>124</v>
      </c>
      <c r="AD251" s="15">
        <v>44651</v>
      </c>
      <c r="AE251" s="39" t="s">
        <v>125</v>
      </c>
      <c r="AF251" s="177">
        <v>6</v>
      </c>
      <c r="AG251" s="140">
        <v>0</v>
      </c>
      <c r="AH251" s="9">
        <v>0</v>
      </c>
      <c r="AI251" s="10" t="s">
        <v>126</v>
      </c>
      <c r="AJ251" s="10"/>
      <c r="AK251" s="29"/>
      <c r="AL251" s="12">
        <v>1.6986301369863011</v>
      </c>
      <c r="AM251" s="10"/>
      <c r="AN251" s="12">
        <f>FAR[[#This Row],[Opening RUL]]+FAR[[#This Row],[RUL Adjustment]]</f>
        <v>1.6986301369863011</v>
      </c>
      <c r="AO251" s="12">
        <f>FAR[[#This Row],[Opening RUL 30 June 2026]]-1</f>
        <v>0.69863013698630105</v>
      </c>
      <c r="AP251" s="12" t="s">
        <v>1050</v>
      </c>
      <c r="AQ251" s="139"/>
      <c r="AR251" s="10" t="s">
        <v>127</v>
      </c>
      <c r="AS251" s="13">
        <v>6975.22</v>
      </c>
      <c r="AT251" s="13"/>
      <c r="AU251" s="13">
        <v>0</v>
      </c>
      <c r="AV251" s="13">
        <v>0</v>
      </c>
      <c r="AW251" s="13">
        <v>0</v>
      </c>
      <c r="AX251" s="13">
        <v>6975.22</v>
      </c>
      <c r="AY251" s="13">
        <v>126.70114382402699</v>
      </c>
      <c r="AZ251" s="13">
        <v>0</v>
      </c>
      <c r="BA251" s="13"/>
      <c r="BB251" s="13"/>
      <c r="BC251" s="13">
        <v>-6848.5188561759733</v>
      </c>
      <c r="BD251" s="13"/>
      <c r="BE251" s="13" t="s">
        <v>114</v>
      </c>
      <c r="BF251" s="29"/>
      <c r="BG251" s="13"/>
      <c r="BH251" s="13">
        <f>-FAR[[#This Row],[Carrying value (opening balance)]]/FAR[[#This Row],[Opening RUL 30 June 2026]]</f>
        <v>-74.590189509306228</v>
      </c>
      <c r="BI251" s="13">
        <f>FAR[[#This Row],[Depreciation YTD]]/12</f>
        <v>-6.2158491257755193</v>
      </c>
      <c r="BJ251" s="13"/>
      <c r="BK251" s="13" t="s">
        <v>116</v>
      </c>
      <c r="BL251" s="13">
        <v>0</v>
      </c>
      <c r="BM251" s="13">
        <f>FAR[[#This Row],[Accumulated depreciation (Opening balance)]]+FAR[[#This Row],[Depreciation YTD]]+FAR[[#This Row],[Derecognitions (acc dep) '[+']]]</f>
        <v>-6923.1090456852799</v>
      </c>
      <c r="BN251" s="13"/>
      <c r="BO251" s="13"/>
      <c r="BP251" s="13"/>
      <c r="BQ251" s="13"/>
      <c r="BR25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51" s="13">
        <f>FAR[[#This Row],[Cost Price (closing balance)]]+FAR[[#This Row],[Accumulated depreciation (Closing balance)]]+FAR[[#This Row],[Accumulated impairments (Closing balance)]]</f>
        <v>52.110954314720402</v>
      </c>
      <c r="BT251" s="13"/>
      <c r="BU251" s="13"/>
      <c r="BV251" s="13"/>
      <c r="BW251" s="10" t="s">
        <v>167</v>
      </c>
      <c r="BX251" s="9" t="s">
        <v>168</v>
      </c>
      <c r="BY251" s="10"/>
      <c r="BZ251" t="s">
        <v>997</v>
      </c>
      <c r="CA251"/>
      <c r="CB251" s="34"/>
      <c r="CC251" s="34"/>
      <c r="CD251" s="34"/>
      <c r="CE251" s="141"/>
    </row>
    <row r="252" spans="1:83">
      <c r="A252" s="35" t="s">
        <v>422</v>
      </c>
      <c r="B252" s="9">
        <v>0</v>
      </c>
      <c r="C252" s="9" t="s">
        <v>54</v>
      </c>
      <c r="D252" s="10" t="s">
        <v>1</v>
      </c>
      <c r="E252" s="9" t="s">
        <v>115</v>
      </c>
      <c r="F252" s="36" t="s">
        <v>99</v>
      </c>
      <c r="G252" s="9" t="s">
        <v>100</v>
      </c>
      <c r="H252" s="3" t="s">
        <v>128</v>
      </c>
      <c r="I252" s="9" t="s">
        <v>100</v>
      </c>
      <c r="J252" s="36" t="s">
        <v>101</v>
      </c>
      <c r="K252" s="10" t="s">
        <v>559</v>
      </c>
      <c r="L252" s="10" t="s">
        <v>559</v>
      </c>
      <c r="M252" s="9" t="s">
        <v>100</v>
      </c>
      <c r="N252" s="10" t="s">
        <v>539</v>
      </c>
      <c r="O252" s="9" t="s">
        <v>100</v>
      </c>
      <c r="P252" s="10"/>
      <c r="Q252" s="10" t="s">
        <v>539</v>
      </c>
      <c r="R252" s="10" t="s">
        <v>119</v>
      </c>
      <c r="S252" s="10" t="s">
        <v>130</v>
      </c>
      <c r="T252" s="10" t="s">
        <v>120</v>
      </c>
      <c r="U252" s="10" t="s">
        <v>101</v>
      </c>
      <c r="V252" s="10" t="s">
        <v>121</v>
      </c>
      <c r="W252" s="10" t="s">
        <v>122</v>
      </c>
      <c r="X252" s="10" t="s">
        <v>123</v>
      </c>
      <c r="Y252" s="29">
        <v>1</v>
      </c>
      <c r="Z252" s="138" t="s">
        <v>594</v>
      </c>
      <c r="AA252" s="138">
        <v>42807</v>
      </c>
      <c r="AB252" s="9" t="s">
        <v>114</v>
      </c>
      <c r="AC252" s="9" t="s">
        <v>124</v>
      </c>
      <c r="AD252" s="15">
        <v>44651</v>
      </c>
      <c r="AE252" s="39" t="s">
        <v>125</v>
      </c>
      <c r="AF252" s="177">
        <v>6</v>
      </c>
      <c r="AG252" s="140">
        <v>0</v>
      </c>
      <c r="AH252" s="9">
        <v>0</v>
      </c>
      <c r="AI252" s="10" t="s">
        <v>126</v>
      </c>
      <c r="AJ252" s="10"/>
      <c r="AK252" s="29"/>
      <c r="AL252" s="12">
        <v>1.6986301369863011</v>
      </c>
      <c r="AM252" s="10"/>
      <c r="AN252" s="12">
        <f>FAR[[#This Row],[Opening RUL]]+FAR[[#This Row],[RUL Adjustment]]</f>
        <v>1.6986301369863011</v>
      </c>
      <c r="AO252" s="12">
        <f>FAR[[#This Row],[Opening RUL 30 June 2026]]-1</f>
        <v>0.69863013698630105</v>
      </c>
      <c r="AP252" s="12">
        <v>0</v>
      </c>
      <c r="AQ252" s="139"/>
      <c r="AR252" s="10" t="s">
        <v>127</v>
      </c>
      <c r="AS252" s="13">
        <v>6975.22</v>
      </c>
      <c r="AT252" s="13"/>
      <c r="AU252" s="13">
        <v>0</v>
      </c>
      <c r="AV252" s="13">
        <v>0</v>
      </c>
      <c r="AW252" s="13">
        <v>0</v>
      </c>
      <c r="AX252" s="13">
        <v>6975.22</v>
      </c>
      <c r="AY252" s="13">
        <v>126.70114382402699</v>
      </c>
      <c r="AZ252" s="13">
        <v>0</v>
      </c>
      <c r="BA252" s="13"/>
      <c r="BB252" s="13"/>
      <c r="BC252" s="13">
        <v>-6848.5188561759733</v>
      </c>
      <c r="BD252" s="13"/>
      <c r="BE252" s="13" t="s">
        <v>114</v>
      </c>
      <c r="BF252" s="29"/>
      <c r="BG252" s="13"/>
      <c r="BH252" s="13">
        <f>-FAR[[#This Row],[Carrying value (opening balance)]]/FAR[[#This Row],[Opening RUL 30 June 2026]]</f>
        <v>-74.590189509306228</v>
      </c>
      <c r="BI252" s="13">
        <f>FAR[[#This Row],[Depreciation YTD]]/12</f>
        <v>-6.2158491257755193</v>
      </c>
      <c r="BJ252" s="13"/>
      <c r="BK252" s="13" t="s">
        <v>116</v>
      </c>
      <c r="BL252" s="13">
        <v>0</v>
      </c>
      <c r="BM252" s="13">
        <f>FAR[[#This Row],[Accumulated depreciation (Opening balance)]]+FAR[[#This Row],[Depreciation YTD]]+FAR[[#This Row],[Derecognitions (acc dep) '[+']]]</f>
        <v>-6923.1090456852799</v>
      </c>
      <c r="BN252" s="13"/>
      <c r="BO252" s="13"/>
      <c r="BP252" s="13"/>
      <c r="BQ252" s="13"/>
      <c r="BR25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52" s="13">
        <f>FAR[[#This Row],[Cost Price (closing balance)]]+FAR[[#This Row],[Accumulated depreciation (Closing balance)]]+FAR[[#This Row],[Accumulated impairments (Closing balance)]]</f>
        <v>52.110954314720402</v>
      </c>
      <c r="BT252" s="13"/>
      <c r="BU252" s="13"/>
      <c r="BV252" s="13"/>
      <c r="BW252" s="10" t="s">
        <v>167</v>
      </c>
      <c r="BX252" s="9" t="s">
        <v>168</v>
      </c>
      <c r="BY252" s="10"/>
      <c r="BZ252">
        <v>0</v>
      </c>
      <c r="CA252"/>
      <c r="CB252" s="34"/>
      <c r="CC252" s="34"/>
      <c r="CD252" s="34"/>
      <c r="CE252" s="141"/>
    </row>
    <row r="253" spans="1:83">
      <c r="A253" s="35">
        <v>1024</v>
      </c>
      <c r="B253" s="9" t="s">
        <v>928</v>
      </c>
      <c r="C253" s="9" t="s">
        <v>54</v>
      </c>
      <c r="D253" s="10" t="s">
        <v>1</v>
      </c>
      <c r="E253" s="9" t="s">
        <v>115</v>
      </c>
      <c r="F253" s="36" t="s">
        <v>99</v>
      </c>
      <c r="G253" s="9" t="s">
        <v>100</v>
      </c>
      <c r="H253" s="3" t="s">
        <v>128</v>
      </c>
      <c r="I253" s="9" t="s">
        <v>100</v>
      </c>
      <c r="J253" s="36" t="s">
        <v>101</v>
      </c>
      <c r="K253" s="10" t="s">
        <v>559</v>
      </c>
      <c r="L253" s="10" t="s">
        <v>559</v>
      </c>
      <c r="M253" s="9" t="s">
        <v>100</v>
      </c>
      <c r="N253" s="10" t="s">
        <v>540</v>
      </c>
      <c r="O253" s="9" t="s">
        <v>100</v>
      </c>
      <c r="P253" s="10"/>
      <c r="Q253" s="10" t="s">
        <v>540</v>
      </c>
      <c r="R253" s="10" t="s">
        <v>119</v>
      </c>
      <c r="S253" s="10" t="s">
        <v>130</v>
      </c>
      <c r="T253" s="10" t="s">
        <v>120</v>
      </c>
      <c r="U253" s="10" t="s">
        <v>101</v>
      </c>
      <c r="V253" s="10" t="s">
        <v>121</v>
      </c>
      <c r="W253" s="10" t="s">
        <v>122</v>
      </c>
      <c r="X253" s="10" t="s">
        <v>123</v>
      </c>
      <c r="Y253" s="29">
        <v>1</v>
      </c>
      <c r="Z253" s="138" t="s">
        <v>589</v>
      </c>
      <c r="AA253" s="138">
        <v>41355</v>
      </c>
      <c r="AB253" s="9" t="s">
        <v>114</v>
      </c>
      <c r="AC253" s="9" t="s">
        <v>124</v>
      </c>
      <c r="AD253" s="15">
        <v>44651</v>
      </c>
      <c r="AE253" s="39" t="s">
        <v>125</v>
      </c>
      <c r="AF253" s="177">
        <v>6</v>
      </c>
      <c r="AG253" s="140">
        <v>0</v>
      </c>
      <c r="AH253" s="9">
        <v>0</v>
      </c>
      <c r="AI253" s="10" t="s">
        <v>126</v>
      </c>
      <c r="AJ253" s="10"/>
      <c r="AK253" s="29"/>
      <c r="AL253" s="12">
        <v>1</v>
      </c>
      <c r="AM253" s="10"/>
      <c r="AN253" s="12">
        <f>FAR[[#This Row],[Opening RUL]]+FAR[[#This Row],[RUL Adjustment]]</f>
        <v>1</v>
      </c>
      <c r="AO253" s="12">
        <f>FAR[[#This Row],[Opening RUL 30 June 2026]]-1</f>
        <v>0</v>
      </c>
      <c r="AP253" s="12" t="s">
        <v>1053</v>
      </c>
      <c r="AQ253" s="139"/>
      <c r="AR253" s="10" t="s">
        <v>127</v>
      </c>
      <c r="AS253" s="13">
        <v>1014.6</v>
      </c>
      <c r="AT253" s="13"/>
      <c r="AU253" s="13">
        <v>0</v>
      </c>
      <c r="AV253" s="13">
        <v>0</v>
      </c>
      <c r="AW253" s="13">
        <v>0</v>
      </c>
      <c r="AX253" s="13">
        <v>1014.6</v>
      </c>
      <c r="AY253" s="13">
        <v>56.366666666666674</v>
      </c>
      <c r="AZ253" s="13">
        <v>0</v>
      </c>
      <c r="BA253" s="13"/>
      <c r="BB253" s="13"/>
      <c r="BC253" s="13">
        <v>-958.23333333333335</v>
      </c>
      <c r="BD253" s="13"/>
      <c r="BE253" s="13" t="s">
        <v>114</v>
      </c>
      <c r="BF253" s="29"/>
      <c r="BG253" s="13"/>
      <c r="BH253" s="13">
        <f>-FAR[[#This Row],[Carrying value (opening balance)]]/FAR[[#This Row],[Opening RUL 30 June 2026]]</f>
        <v>-56.366666666666674</v>
      </c>
      <c r="BI253" s="13">
        <f>FAR[[#This Row],[Depreciation YTD]]/12</f>
        <v>-4.6972222222222229</v>
      </c>
      <c r="BJ253" s="13"/>
      <c r="BK253" s="13" t="s">
        <v>116</v>
      </c>
      <c r="BL253" s="13">
        <v>0</v>
      </c>
      <c r="BM253" s="13">
        <f>FAR[[#This Row],[Accumulated depreciation (Opening balance)]]+FAR[[#This Row],[Depreciation YTD]]+FAR[[#This Row],[Derecognitions (acc dep) '[+']]]</f>
        <v>-1014.6</v>
      </c>
      <c r="BN253" s="13"/>
      <c r="BO253" s="13"/>
      <c r="BP253" s="13"/>
      <c r="BQ253" s="13"/>
      <c r="BR25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53" s="13">
        <f>FAR[[#This Row],[Cost Price (closing balance)]]+FAR[[#This Row],[Accumulated depreciation (Closing balance)]]+FAR[[#This Row],[Accumulated impairments (Closing balance)]]</f>
        <v>0</v>
      </c>
      <c r="BT253" s="13"/>
      <c r="BU253" s="13"/>
      <c r="BV253" s="13"/>
      <c r="BW253" s="10" t="s">
        <v>167</v>
      </c>
      <c r="BX253" s="9" t="s">
        <v>168</v>
      </c>
      <c r="BY253" s="10"/>
      <c r="BZ253" t="s">
        <v>1015</v>
      </c>
      <c r="CA253"/>
      <c r="CB253" s="34"/>
      <c r="CC253" s="34"/>
      <c r="CD253" s="34"/>
      <c r="CE253" s="141"/>
    </row>
    <row r="254" spans="1:83">
      <c r="A254" s="35">
        <v>1027</v>
      </c>
      <c r="B254" s="9" t="s">
        <v>884</v>
      </c>
      <c r="C254" s="9" t="s">
        <v>54</v>
      </c>
      <c r="D254" s="10" t="s">
        <v>1</v>
      </c>
      <c r="E254" s="9" t="s">
        <v>115</v>
      </c>
      <c r="F254" s="36" t="s">
        <v>99</v>
      </c>
      <c r="G254" s="9" t="s">
        <v>100</v>
      </c>
      <c r="H254" s="3" t="s">
        <v>128</v>
      </c>
      <c r="I254" s="9" t="s">
        <v>100</v>
      </c>
      <c r="J254" s="36" t="s">
        <v>101</v>
      </c>
      <c r="K254" s="10" t="s">
        <v>559</v>
      </c>
      <c r="L254" s="10" t="s">
        <v>559</v>
      </c>
      <c r="M254" s="9" t="s">
        <v>100</v>
      </c>
      <c r="N254" s="10" t="s">
        <v>541</v>
      </c>
      <c r="O254" s="9" t="s">
        <v>100</v>
      </c>
      <c r="P254" s="10"/>
      <c r="Q254" s="10" t="s">
        <v>541</v>
      </c>
      <c r="R254" s="10" t="s">
        <v>119</v>
      </c>
      <c r="S254" s="10" t="s">
        <v>130</v>
      </c>
      <c r="T254" s="10" t="s">
        <v>120</v>
      </c>
      <c r="U254" s="10" t="s">
        <v>101</v>
      </c>
      <c r="V254" s="10" t="s">
        <v>121</v>
      </c>
      <c r="W254" s="10" t="s">
        <v>122</v>
      </c>
      <c r="X254" s="10" t="s">
        <v>123</v>
      </c>
      <c r="Y254" s="29">
        <v>1</v>
      </c>
      <c r="Z254" s="138" t="s">
        <v>561</v>
      </c>
      <c r="AA254" s="138">
        <v>38071</v>
      </c>
      <c r="AB254" s="9" t="s">
        <v>114</v>
      </c>
      <c r="AC254" s="9" t="s">
        <v>124</v>
      </c>
      <c r="AD254" s="15">
        <v>44651</v>
      </c>
      <c r="AE254" s="39" t="s">
        <v>125</v>
      </c>
      <c r="AF254" s="177">
        <v>6</v>
      </c>
      <c r="AG254" s="140">
        <v>0</v>
      </c>
      <c r="AH254" s="9">
        <v>0</v>
      </c>
      <c r="AI254" s="10" t="s">
        <v>126</v>
      </c>
      <c r="AJ254" s="10"/>
      <c r="AK254" s="29"/>
      <c r="AL254" s="12">
        <v>1</v>
      </c>
      <c r="AM254" s="10"/>
      <c r="AN254" s="12">
        <f>FAR[[#This Row],[Opening RUL]]+FAR[[#This Row],[RUL Adjustment]]</f>
        <v>1</v>
      </c>
      <c r="AO254" s="12">
        <f>FAR[[#This Row],[Opening RUL 30 June 2026]]-1</f>
        <v>0</v>
      </c>
      <c r="AP254" s="12" t="s">
        <v>1050</v>
      </c>
      <c r="AQ254" s="139"/>
      <c r="AR254" s="10" t="s">
        <v>127</v>
      </c>
      <c r="AS254" s="13">
        <v>4733.28</v>
      </c>
      <c r="AT254" s="13"/>
      <c r="AU254" s="13">
        <v>0</v>
      </c>
      <c r="AV254" s="13">
        <v>0</v>
      </c>
      <c r="AW254" s="13">
        <v>0</v>
      </c>
      <c r="AX254" s="13">
        <v>4733.28</v>
      </c>
      <c r="AY254" s="13">
        <v>262.96000000000004</v>
      </c>
      <c r="AZ254" s="13">
        <v>0</v>
      </c>
      <c r="BA254" s="13"/>
      <c r="BB254" s="13"/>
      <c r="BC254" s="13">
        <v>-4470.32</v>
      </c>
      <c r="BD254" s="13"/>
      <c r="BE254" s="13" t="s">
        <v>114</v>
      </c>
      <c r="BF254" s="29"/>
      <c r="BG254" s="13"/>
      <c r="BH254" s="13">
        <f>-FAR[[#This Row],[Carrying value (opening balance)]]/FAR[[#This Row],[Opening RUL 30 June 2026]]</f>
        <v>-262.96000000000004</v>
      </c>
      <c r="BI254" s="13">
        <f>FAR[[#This Row],[Depreciation YTD]]/12</f>
        <v>-21.913333333333338</v>
      </c>
      <c r="BJ254" s="13"/>
      <c r="BK254" s="13" t="s">
        <v>116</v>
      </c>
      <c r="BL254" s="13">
        <v>0</v>
      </c>
      <c r="BM254" s="13">
        <f>FAR[[#This Row],[Accumulated depreciation (Opening balance)]]+FAR[[#This Row],[Depreciation YTD]]+FAR[[#This Row],[Derecognitions (acc dep) '[+']]]</f>
        <v>-4733.28</v>
      </c>
      <c r="BN254" s="13"/>
      <c r="BO254" s="13"/>
      <c r="BP254" s="13"/>
      <c r="BQ254" s="13"/>
      <c r="BR25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54" s="13">
        <f>FAR[[#This Row],[Cost Price (closing balance)]]+FAR[[#This Row],[Accumulated depreciation (Closing balance)]]+FAR[[#This Row],[Accumulated impairments (Closing balance)]]</f>
        <v>0</v>
      </c>
      <c r="BT254" s="13"/>
      <c r="BU254" s="13"/>
      <c r="BV254" s="13"/>
      <c r="BW254" s="10" t="s">
        <v>167</v>
      </c>
      <c r="BX254" s="9" t="s">
        <v>168</v>
      </c>
      <c r="BY254" s="10"/>
      <c r="BZ254" t="s">
        <v>1003</v>
      </c>
      <c r="CA254"/>
      <c r="CB254" s="34"/>
      <c r="CC254" s="34"/>
      <c r="CD254" s="34"/>
      <c r="CE254" s="141"/>
    </row>
    <row r="255" spans="1:83">
      <c r="A255" s="35">
        <v>1029</v>
      </c>
      <c r="B255" s="9" t="s">
        <v>864</v>
      </c>
      <c r="C255" s="9" t="s">
        <v>54</v>
      </c>
      <c r="D255" s="10" t="s">
        <v>1</v>
      </c>
      <c r="E255" s="9" t="s">
        <v>115</v>
      </c>
      <c r="F255" s="36" t="s">
        <v>99</v>
      </c>
      <c r="G255" s="9" t="s">
        <v>100</v>
      </c>
      <c r="H255" s="3" t="s">
        <v>128</v>
      </c>
      <c r="I255" s="9" t="s">
        <v>100</v>
      </c>
      <c r="J255" s="36" t="s">
        <v>101</v>
      </c>
      <c r="K255" s="10" t="s">
        <v>559</v>
      </c>
      <c r="L255" s="10" t="s">
        <v>559</v>
      </c>
      <c r="M255" s="9" t="s">
        <v>100</v>
      </c>
      <c r="N255" s="10" t="s">
        <v>542</v>
      </c>
      <c r="O255" s="9" t="s">
        <v>100</v>
      </c>
      <c r="P255" s="10"/>
      <c r="Q255" s="10" t="s">
        <v>542</v>
      </c>
      <c r="R255" s="10" t="s">
        <v>119</v>
      </c>
      <c r="S255" s="10" t="s">
        <v>130</v>
      </c>
      <c r="T255" s="10" t="s">
        <v>120</v>
      </c>
      <c r="U255" s="10" t="s">
        <v>101</v>
      </c>
      <c r="V255" s="10" t="s">
        <v>121</v>
      </c>
      <c r="W255" s="10" t="s">
        <v>122</v>
      </c>
      <c r="X255" s="10" t="s">
        <v>123</v>
      </c>
      <c r="Y255" s="29">
        <v>1</v>
      </c>
      <c r="Z255" s="138" t="s">
        <v>589</v>
      </c>
      <c r="AA255" s="138">
        <v>41355</v>
      </c>
      <c r="AB255" s="9" t="s">
        <v>114</v>
      </c>
      <c r="AC255" s="9" t="s">
        <v>124</v>
      </c>
      <c r="AD255" s="15">
        <v>44651</v>
      </c>
      <c r="AE255" s="39" t="s">
        <v>125</v>
      </c>
      <c r="AF255" s="177">
        <v>6</v>
      </c>
      <c r="AG255" s="140">
        <v>0</v>
      </c>
      <c r="AH255" s="9">
        <v>0</v>
      </c>
      <c r="AI255" s="10" t="s">
        <v>126</v>
      </c>
      <c r="AJ255" s="10"/>
      <c r="AK255" s="29"/>
      <c r="AL255" s="12">
        <v>1</v>
      </c>
      <c r="AM255" s="10"/>
      <c r="AN255" s="12">
        <f>FAR[[#This Row],[Opening RUL]]+FAR[[#This Row],[RUL Adjustment]]</f>
        <v>1</v>
      </c>
      <c r="AO255" s="12">
        <f>FAR[[#This Row],[Opening RUL 30 June 2026]]-1</f>
        <v>0</v>
      </c>
      <c r="AP255" s="12" t="s">
        <v>1050</v>
      </c>
      <c r="AQ255" s="139"/>
      <c r="AR255" s="10" t="s">
        <v>127</v>
      </c>
      <c r="AS255" s="13">
        <v>2593.5</v>
      </c>
      <c r="AT255" s="13"/>
      <c r="AU255" s="13">
        <v>0</v>
      </c>
      <c r="AV255" s="13">
        <v>0</v>
      </c>
      <c r="AW255" s="13">
        <v>0</v>
      </c>
      <c r="AX255" s="13">
        <v>2593.5</v>
      </c>
      <c r="AY255" s="13">
        <v>144.08333333333303</v>
      </c>
      <c r="AZ255" s="13">
        <v>0</v>
      </c>
      <c r="BA255" s="13"/>
      <c r="BB255" s="13"/>
      <c r="BC255" s="13">
        <v>-2449.416666666667</v>
      </c>
      <c r="BD255" s="13"/>
      <c r="BE255" s="13" t="s">
        <v>114</v>
      </c>
      <c r="BF255" s="29"/>
      <c r="BG255" s="13"/>
      <c r="BH255" s="13">
        <f>-FAR[[#This Row],[Carrying value (opening balance)]]/FAR[[#This Row],[Opening RUL 30 June 2026]]</f>
        <v>-144.08333333333303</v>
      </c>
      <c r="BI255" s="13">
        <f>FAR[[#This Row],[Depreciation YTD]]/12</f>
        <v>-12.00694444444442</v>
      </c>
      <c r="BJ255" s="13"/>
      <c r="BK255" s="13" t="s">
        <v>116</v>
      </c>
      <c r="BL255" s="13">
        <v>0</v>
      </c>
      <c r="BM255" s="13">
        <f>FAR[[#This Row],[Accumulated depreciation (Opening balance)]]+FAR[[#This Row],[Depreciation YTD]]+FAR[[#This Row],[Derecognitions (acc dep) '[+']]]</f>
        <v>-2593.5</v>
      </c>
      <c r="BN255" s="13"/>
      <c r="BO255" s="13"/>
      <c r="BP255" s="13"/>
      <c r="BQ255" s="13"/>
      <c r="BR25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55" s="13">
        <f>FAR[[#This Row],[Cost Price (closing balance)]]+FAR[[#This Row],[Accumulated depreciation (Closing balance)]]+FAR[[#This Row],[Accumulated impairments (Closing balance)]]</f>
        <v>0</v>
      </c>
      <c r="BT255" s="13"/>
      <c r="BU255" s="13"/>
      <c r="BV255" s="13"/>
      <c r="BW255" s="10" t="s">
        <v>167</v>
      </c>
      <c r="BX255" s="9" t="s">
        <v>168</v>
      </c>
      <c r="BY255" s="10"/>
      <c r="BZ255" t="s">
        <v>948</v>
      </c>
      <c r="CA255"/>
      <c r="CB255" s="34"/>
      <c r="CC255" s="34"/>
      <c r="CD255" s="34"/>
      <c r="CE255" s="141"/>
    </row>
    <row r="256" spans="1:83">
      <c r="A256" s="35">
        <v>1030</v>
      </c>
      <c r="B256" s="9">
        <v>0</v>
      </c>
      <c r="C256" s="9" t="s">
        <v>54</v>
      </c>
      <c r="D256" s="10" t="s">
        <v>1</v>
      </c>
      <c r="E256" s="9" t="s">
        <v>115</v>
      </c>
      <c r="F256" s="36" t="s">
        <v>99</v>
      </c>
      <c r="G256" s="9" t="s">
        <v>100</v>
      </c>
      <c r="H256" s="3" t="s">
        <v>128</v>
      </c>
      <c r="I256" s="9" t="s">
        <v>100</v>
      </c>
      <c r="J256" s="36" t="s">
        <v>101</v>
      </c>
      <c r="K256" s="10" t="s">
        <v>559</v>
      </c>
      <c r="L256" s="10" t="s">
        <v>559</v>
      </c>
      <c r="M256" s="9" t="s">
        <v>100</v>
      </c>
      <c r="N256" s="10" t="s">
        <v>543</v>
      </c>
      <c r="O256" s="9" t="s">
        <v>100</v>
      </c>
      <c r="P256" s="10"/>
      <c r="Q256" s="10" t="s">
        <v>543</v>
      </c>
      <c r="R256" s="10" t="s">
        <v>119</v>
      </c>
      <c r="S256" s="10" t="s">
        <v>130</v>
      </c>
      <c r="T256" s="10" t="s">
        <v>120</v>
      </c>
      <c r="U256" s="10" t="s">
        <v>101</v>
      </c>
      <c r="V256" s="10" t="s">
        <v>121</v>
      </c>
      <c r="W256" s="10" t="s">
        <v>122</v>
      </c>
      <c r="X256" s="10" t="s">
        <v>123</v>
      </c>
      <c r="Y256" s="29">
        <v>1</v>
      </c>
      <c r="Z256" s="138" t="s">
        <v>595</v>
      </c>
      <c r="AA256" s="138">
        <v>39904</v>
      </c>
      <c r="AB256" s="9" t="s">
        <v>114</v>
      </c>
      <c r="AC256" s="9" t="s">
        <v>124</v>
      </c>
      <c r="AD256" s="15">
        <v>44651</v>
      </c>
      <c r="AE256" s="39" t="s">
        <v>125</v>
      </c>
      <c r="AF256" s="177">
        <v>6</v>
      </c>
      <c r="AG256" s="140">
        <v>0</v>
      </c>
      <c r="AH256" s="9">
        <v>0</v>
      </c>
      <c r="AI256" s="10" t="s">
        <v>126</v>
      </c>
      <c r="AJ256" s="10"/>
      <c r="AK256" s="29"/>
      <c r="AL256" s="12">
        <v>1</v>
      </c>
      <c r="AM256" s="10"/>
      <c r="AN256" s="12">
        <f>FAR[[#This Row],[Opening RUL]]+FAR[[#This Row],[RUL Adjustment]]</f>
        <v>1</v>
      </c>
      <c r="AO256" s="12">
        <f>FAR[[#This Row],[Opening RUL 30 June 2026]]-1</f>
        <v>0</v>
      </c>
      <c r="AP256" s="12">
        <v>0</v>
      </c>
      <c r="AQ256" s="139"/>
      <c r="AR256" s="10" t="s">
        <v>127</v>
      </c>
      <c r="AS256" s="13">
        <v>691</v>
      </c>
      <c r="AT256" s="13"/>
      <c r="AU256" s="13">
        <v>0</v>
      </c>
      <c r="AV256" s="13">
        <v>0</v>
      </c>
      <c r="AW256" s="13">
        <v>0</v>
      </c>
      <c r="AX256" s="13">
        <v>691</v>
      </c>
      <c r="AY256" s="13">
        <v>38.388888888888914</v>
      </c>
      <c r="AZ256" s="13">
        <v>0</v>
      </c>
      <c r="BA256" s="13"/>
      <c r="BB256" s="13"/>
      <c r="BC256" s="13">
        <v>-652.61111111111109</v>
      </c>
      <c r="BD256" s="13"/>
      <c r="BE256" s="13" t="s">
        <v>114</v>
      </c>
      <c r="BF256" s="29"/>
      <c r="BG256" s="13"/>
      <c r="BH256" s="13">
        <f>-FAR[[#This Row],[Carrying value (opening balance)]]/FAR[[#This Row],[Opening RUL 30 June 2026]]</f>
        <v>-38.388888888888914</v>
      </c>
      <c r="BI256" s="13">
        <f>FAR[[#This Row],[Depreciation YTD]]/12</f>
        <v>-3.1990740740740762</v>
      </c>
      <c r="BJ256" s="13"/>
      <c r="BK256" s="13" t="s">
        <v>116</v>
      </c>
      <c r="BL256" s="13">
        <v>0</v>
      </c>
      <c r="BM256" s="13">
        <f>FAR[[#This Row],[Accumulated depreciation (Opening balance)]]+FAR[[#This Row],[Depreciation YTD]]+FAR[[#This Row],[Derecognitions (acc dep) '[+']]]</f>
        <v>-691</v>
      </c>
      <c r="BN256" s="13"/>
      <c r="BO256" s="13"/>
      <c r="BP256" s="13"/>
      <c r="BQ256" s="13"/>
      <c r="BR25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56" s="13">
        <f>FAR[[#This Row],[Cost Price (closing balance)]]+FAR[[#This Row],[Accumulated depreciation (Closing balance)]]+FAR[[#This Row],[Accumulated impairments (Closing balance)]]</f>
        <v>0</v>
      </c>
      <c r="BT256" s="13"/>
      <c r="BU256" s="13"/>
      <c r="BV256" s="13"/>
      <c r="BW256" s="10" t="s">
        <v>167</v>
      </c>
      <c r="BX256" s="9" t="s">
        <v>168</v>
      </c>
      <c r="BY256" s="10"/>
      <c r="BZ256">
        <v>0</v>
      </c>
      <c r="CA256"/>
      <c r="CB256" s="34"/>
      <c r="CC256" s="34"/>
      <c r="CD256" s="34"/>
      <c r="CE256" s="141"/>
    </row>
    <row r="257" spans="1:83">
      <c r="A257" s="35">
        <v>1112</v>
      </c>
      <c r="B257" s="9" t="s">
        <v>869</v>
      </c>
      <c r="C257" s="9" t="s">
        <v>54</v>
      </c>
      <c r="D257" s="10" t="s">
        <v>1</v>
      </c>
      <c r="E257" s="9" t="s">
        <v>115</v>
      </c>
      <c r="F257" s="36" t="s">
        <v>99</v>
      </c>
      <c r="G257" s="9" t="s">
        <v>100</v>
      </c>
      <c r="H257" s="3" t="s">
        <v>128</v>
      </c>
      <c r="I257" s="9" t="s">
        <v>100</v>
      </c>
      <c r="J257" s="36" t="s">
        <v>101</v>
      </c>
      <c r="K257" s="10" t="s">
        <v>559</v>
      </c>
      <c r="L257" s="10" t="s">
        <v>559</v>
      </c>
      <c r="M257" s="9" t="s">
        <v>100</v>
      </c>
      <c r="N257" s="10" t="s">
        <v>544</v>
      </c>
      <c r="O257" s="9" t="s">
        <v>100</v>
      </c>
      <c r="P257" s="10"/>
      <c r="Q257" s="10" t="s">
        <v>544</v>
      </c>
      <c r="R257" s="10" t="s">
        <v>119</v>
      </c>
      <c r="S257" s="10" t="s">
        <v>130</v>
      </c>
      <c r="T257" s="10" t="s">
        <v>120</v>
      </c>
      <c r="U257" s="10" t="s">
        <v>101</v>
      </c>
      <c r="V257" s="10" t="s">
        <v>121</v>
      </c>
      <c r="W257" s="10" t="s">
        <v>122</v>
      </c>
      <c r="X257" s="10" t="s">
        <v>123</v>
      </c>
      <c r="Y257" s="29">
        <v>1</v>
      </c>
      <c r="Z257" s="138" t="s">
        <v>596</v>
      </c>
      <c r="AA257" s="138">
        <v>43285</v>
      </c>
      <c r="AB257" s="9" t="s">
        <v>114</v>
      </c>
      <c r="AC257" s="9" t="s">
        <v>124</v>
      </c>
      <c r="AD257" s="15">
        <v>44651</v>
      </c>
      <c r="AE257" s="39" t="s">
        <v>125</v>
      </c>
      <c r="AF257" s="177">
        <v>6</v>
      </c>
      <c r="AG257" s="140">
        <v>0</v>
      </c>
      <c r="AH257" s="9">
        <v>0</v>
      </c>
      <c r="AI257" s="10" t="s">
        <v>126</v>
      </c>
      <c r="AJ257" s="10"/>
      <c r="AK257" s="29"/>
      <c r="AL257" s="12">
        <v>1.0082191780821916</v>
      </c>
      <c r="AM257" s="10"/>
      <c r="AN257" s="12">
        <f>FAR[[#This Row],[Opening RUL]]+FAR[[#This Row],[RUL Adjustment]]</f>
        <v>1.0082191780821916</v>
      </c>
      <c r="AO257" s="12">
        <f>FAR[[#This Row],[Opening RUL 30 June 2026]]-1</f>
        <v>8.219178082191636E-3</v>
      </c>
      <c r="AP257" s="12" t="s">
        <v>1050</v>
      </c>
      <c r="AQ257" s="139"/>
      <c r="AR257" s="10" t="s">
        <v>127</v>
      </c>
      <c r="AS257" s="13">
        <v>17200</v>
      </c>
      <c r="AT257" s="13"/>
      <c r="AU257" s="13">
        <v>0</v>
      </c>
      <c r="AV257" s="13">
        <v>0</v>
      </c>
      <c r="AW257" s="13">
        <v>0</v>
      </c>
      <c r="AX257" s="13">
        <v>17200</v>
      </c>
      <c r="AY257" s="13">
        <v>724.52048931489844</v>
      </c>
      <c r="AZ257" s="13">
        <v>0</v>
      </c>
      <c r="BA257" s="13"/>
      <c r="BB257" s="13"/>
      <c r="BC257" s="13">
        <v>-16475.479510685102</v>
      </c>
      <c r="BD257" s="13"/>
      <c r="BE257" s="13" t="s">
        <v>114</v>
      </c>
      <c r="BF257" s="29"/>
      <c r="BG257" s="13"/>
      <c r="BH257" s="13">
        <f>-FAR[[#This Row],[Carrying value (opening balance)]]/FAR[[#This Row],[Opening RUL 30 June 2026]]</f>
        <v>-718.61407228244013</v>
      </c>
      <c r="BI257" s="13">
        <f>FAR[[#This Row],[Depreciation YTD]]/12</f>
        <v>-59.88450602353668</v>
      </c>
      <c r="BJ257" s="13"/>
      <c r="BK257" s="13" t="s">
        <v>116</v>
      </c>
      <c r="BL257" s="13">
        <v>0</v>
      </c>
      <c r="BM257" s="13">
        <f>FAR[[#This Row],[Accumulated depreciation (Opening balance)]]+FAR[[#This Row],[Depreciation YTD]]+FAR[[#This Row],[Derecognitions (acc dep) '[+']]]</f>
        <v>-17194.09358296754</v>
      </c>
      <c r="BN257" s="13"/>
      <c r="BO257" s="13"/>
      <c r="BP257" s="13"/>
      <c r="BQ257" s="13"/>
      <c r="BR25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57" s="13">
        <f>FAR[[#This Row],[Cost Price (closing balance)]]+FAR[[#This Row],[Accumulated depreciation (Closing balance)]]+FAR[[#This Row],[Accumulated impairments (Closing balance)]]</f>
        <v>5.9064170324600127</v>
      </c>
      <c r="BT257" s="13"/>
      <c r="BU257" s="13"/>
      <c r="BV257" s="13"/>
      <c r="BW257" s="10" t="s">
        <v>167</v>
      </c>
      <c r="BX257" s="9" t="s">
        <v>168</v>
      </c>
      <c r="BY257" s="10"/>
      <c r="BZ257" t="s">
        <v>952</v>
      </c>
      <c r="CA257"/>
      <c r="CB257" s="34"/>
      <c r="CC257" s="34"/>
      <c r="CD257" s="34"/>
      <c r="CE257" s="141"/>
    </row>
    <row r="258" spans="1:83">
      <c r="A258" s="35">
        <v>1117</v>
      </c>
      <c r="B258" s="9" t="s">
        <v>885</v>
      </c>
      <c r="C258" s="9" t="s">
        <v>54</v>
      </c>
      <c r="D258" s="10" t="s">
        <v>1</v>
      </c>
      <c r="E258" s="9" t="s">
        <v>115</v>
      </c>
      <c r="F258" s="36" t="s">
        <v>99</v>
      </c>
      <c r="G258" s="9" t="s">
        <v>100</v>
      </c>
      <c r="H258" s="3" t="s">
        <v>128</v>
      </c>
      <c r="I258" s="9" t="s">
        <v>100</v>
      </c>
      <c r="J258" s="36" t="s">
        <v>101</v>
      </c>
      <c r="K258" s="10" t="s">
        <v>559</v>
      </c>
      <c r="L258" s="10" t="s">
        <v>559</v>
      </c>
      <c r="M258" s="9" t="s">
        <v>100</v>
      </c>
      <c r="N258" s="10" t="s">
        <v>545</v>
      </c>
      <c r="O258" s="9" t="s">
        <v>100</v>
      </c>
      <c r="P258" s="10"/>
      <c r="Q258" s="10" t="s">
        <v>545</v>
      </c>
      <c r="R258" s="10" t="s">
        <v>119</v>
      </c>
      <c r="S258" s="10" t="s">
        <v>130</v>
      </c>
      <c r="T258" s="10" t="s">
        <v>120</v>
      </c>
      <c r="U258" s="10" t="s">
        <v>101</v>
      </c>
      <c r="V258" s="10" t="s">
        <v>121</v>
      </c>
      <c r="W258" s="10" t="s">
        <v>122</v>
      </c>
      <c r="X258" s="10" t="s">
        <v>123</v>
      </c>
      <c r="Y258" s="29">
        <v>1</v>
      </c>
      <c r="Z258" s="138" t="s">
        <v>596</v>
      </c>
      <c r="AA258" s="138">
        <v>43285</v>
      </c>
      <c r="AB258" s="9" t="s">
        <v>114</v>
      </c>
      <c r="AC258" s="9" t="s">
        <v>124</v>
      </c>
      <c r="AD258" s="15">
        <v>44651</v>
      </c>
      <c r="AE258" s="39" t="s">
        <v>125</v>
      </c>
      <c r="AF258" s="177">
        <v>6</v>
      </c>
      <c r="AG258" s="140">
        <v>0</v>
      </c>
      <c r="AH258" s="9">
        <v>0</v>
      </c>
      <c r="AI258" s="10" t="s">
        <v>126</v>
      </c>
      <c r="AJ258" s="10"/>
      <c r="AK258" s="29"/>
      <c r="AL258" s="12">
        <v>1.0082191780821916</v>
      </c>
      <c r="AM258" s="10"/>
      <c r="AN258" s="12">
        <f>FAR[[#This Row],[Opening RUL]]+FAR[[#This Row],[RUL Adjustment]]</f>
        <v>1.0082191780821916</v>
      </c>
      <c r="AO258" s="12">
        <f>FAR[[#This Row],[Opening RUL 30 June 2026]]-1</f>
        <v>8.219178082191636E-3</v>
      </c>
      <c r="AP258" s="12" t="s">
        <v>1050</v>
      </c>
      <c r="AQ258" s="139"/>
      <c r="AR258" s="10" t="s">
        <v>127</v>
      </c>
      <c r="AS258" s="13">
        <v>8600</v>
      </c>
      <c r="AT258" s="13"/>
      <c r="AU258" s="13">
        <v>0</v>
      </c>
      <c r="AV258" s="13">
        <v>0</v>
      </c>
      <c r="AW258" s="13">
        <v>0</v>
      </c>
      <c r="AX258" s="13">
        <v>8600</v>
      </c>
      <c r="AY258" s="13">
        <v>362.26024465744922</v>
      </c>
      <c r="AZ258" s="13">
        <v>0</v>
      </c>
      <c r="BA258" s="13"/>
      <c r="BB258" s="13"/>
      <c r="BC258" s="13">
        <v>-8237.7397553425508</v>
      </c>
      <c r="BD258" s="13"/>
      <c r="BE258" s="13" t="s">
        <v>114</v>
      </c>
      <c r="BF258" s="29"/>
      <c r="BG258" s="13"/>
      <c r="BH258" s="13">
        <f>-FAR[[#This Row],[Carrying value (opening balance)]]/FAR[[#This Row],[Opening RUL 30 June 2026]]</f>
        <v>-359.30703614122007</v>
      </c>
      <c r="BI258" s="13">
        <f>FAR[[#This Row],[Depreciation YTD]]/12</f>
        <v>-29.94225301176834</v>
      </c>
      <c r="BJ258" s="13"/>
      <c r="BK258" s="13" t="s">
        <v>116</v>
      </c>
      <c r="BL258" s="13">
        <v>0</v>
      </c>
      <c r="BM258" s="13">
        <f>FAR[[#This Row],[Accumulated depreciation (Opening balance)]]+FAR[[#This Row],[Depreciation YTD]]+FAR[[#This Row],[Derecognitions (acc dep) '[+']]]</f>
        <v>-8597.04679148377</v>
      </c>
      <c r="BN258" s="13"/>
      <c r="BO258" s="13"/>
      <c r="BP258" s="13"/>
      <c r="BQ258" s="13"/>
      <c r="BR25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58" s="13">
        <f>FAR[[#This Row],[Cost Price (closing balance)]]+FAR[[#This Row],[Accumulated depreciation (Closing balance)]]+FAR[[#This Row],[Accumulated impairments (Closing balance)]]</f>
        <v>2.9532085162300064</v>
      </c>
      <c r="BT258" s="13"/>
      <c r="BU258" s="13"/>
      <c r="BV258" s="13"/>
      <c r="BW258" s="10" t="s">
        <v>167</v>
      </c>
      <c r="BX258" s="9" t="s">
        <v>168</v>
      </c>
      <c r="BY258" s="10"/>
      <c r="BZ258" t="s">
        <v>974</v>
      </c>
      <c r="CA258"/>
      <c r="CB258" s="34"/>
      <c r="CC258" s="34"/>
      <c r="CD258" s="34"/>
      <c r="CE258" s="141"/>
    </row>
    <row r="259" spans="1:83">
      <c r="A259" s="35">
        <v>1113</v>
      </c>
      <c r="B259" s="9" t="s">
        <v>929</v>
      </c>
      <c r="C259" s="9" t="s">
        <v>54</v>
      </c>
      <c r="D259" s="10" t="s">
        <v>1</v>
      </c>
      <c r="E259" s="9" t="s">
        <v>115</v>
      </c>
      <c r="F259" s="36" t="s">
        <v>99</v>
      </c>
      <c r="G259" s="9" t="s">
        <v>100</v>
      </c>
      <c r="H259" s="3" t="s">
        <v>128</v>
      </c>
      <c r="I259" s="9" t="s">
        <v>100</v>
      </c>
      <c r="J259" s="36" t="s">
        <v>101</v>
      </c>
      <c r="K259" s="10" t="s">
        <v>559</v>
      </c>
      <c r="L259" s="10" t="s">
        <v>559</v>
      </c>
      <c r="M259" s="9" t="s">
        <v>100</v>
      </c>
      <c r="N259" s="10" t="s">
        <v>498</v>
      </c>
      <c r="O259" s="9" t="s">
        <v>100</v>
      </c>
      <c r="P259" s="10"/>
      <c r="Q259" s="10" t="s">
        <v>498</v>
      </c>
      <c r="R259" s="10" t="s">
        <v>119</v>
      </c>
      <c r="S259" s="10" t="s">
        <v>130</v>
      </c>
      <c r="T259" s="10" t="s">
        <v>120</v>
      </c>
      <c r="U259" s="10" t="s">
        <v>101</v>
      </c>
      <c r="V259" s="10" t="s">
        <v>121</v>
      </c>
      <c r="W259" s="10" t="s">
        <v>122</v>
      </c>
      <c r="X259" s="10" t="s">
        <v>123</v>
      </c>
      <c r="Y259" s="29">
        <v>1</v>
      </c>
      <c r="Z259" s="138" t="s">
        <v>596</v>
      </c>
      <c r="AA259" s="138">
        <v>43285</v>
      </c>
      <c r="AB259" s="9" t="s">
        <v>114</v>
      </c>
      <c r="AC259" s="9" t="s">
        <v>124</v>
      </c>
      <c r="AD259" s="15">
        <v>44651</v>
      </c>
      <c r="AE259" s="39" t="s">
        <v>125</v>
      </c>
      <c r="AF259" s="177">
        <v>6</v>
      </c>
      <c r="AG259" s="140">
        <v>0</v>
      </c>
      <c r="AH259" s="9">
        <v>0</v>
      </c>
      <c r="AI259" s="10" t="s">
        <v>126</v>
      </c>
      <c r="AJ259" s="10"/>
      <c r="AK259" s="29"/>
      <c r="AL259" s="12">
        <v>1.0082191780821916</v>
      </c>
      <c r="AM259" s="10"/>
      <c r="AN259" s="12">
        <f>FAR[[#This Row],[Opening RUL]]+FAR[[#This Row],[RUL Adjustment]]</f>
        <v>1.0082191780821916</v>
      </c>
      <c r="AO259" s="12">
        <f>FAR[[#This Row],[Opening RUL 30 June 2026]]-1</f>
        <v>8.219178082191636E-3</v>
      </c>
      <c r="AP259" s="12" t="s">
        <v>1050</v>
      </c>
      <c r="AQ259" s="139"/>
      <c r="AR259" s="10" t="s">
        <v>127</v>
      </c>
      <c r="AS259" s="13">
        <v>7000</v>
      </c>
      <c r="AT259" s="13"/>
      <c r="AU259" s="13">
        <v>0</v>
      </c>
      <c r="AV259" s="13">
        <v>0</v>
      </c>
      <c r="AW259" s="13">
        <v>0</v>
      </c>
      <c r="AX259" s="13">
        <v>7000</v>
      </c>
      <c r="AY259" s="13">
        <v>294.86298983745928</v>
      </c>
      <c r="AZ259" s="13">
        <v>0</v>
      </c>
      <c r="BA259" s="13"/>
      <c r="BB259" s="13"/>
      <c r="BC259" s="13">
        <v>-6705.1370101625407</v>
      </c>
      <c r="BD259" s="13"/>
      <c r="BE259" s="13" t="s">
        <v>114</v>
      </c>
      <c r="BF259" s="29"/>
      <c r="BG259" s="13"/>
      <c r="BH259" s="13">
        <f>-FAR[[#This Row],[Carrying value (opening balance)]]/FAR[[#This Row],[Opening RUL 30 June 2026]]</f>
        <v>-292.4592154637844</v>
      </c>
      <c r="BI259" s="13">
        <f>FAR[[#This Row],[Depreciation YTD]]/12</f>
        <v>-24.371601288648701</v>
      </c>
      <c r="BJ259" s="13"/>
      <c r="BK259" s="13" t="s">
        <v>116</v>
      </c>
      <c r="BL259" s="13">
        <v>0</v>
      </c>
      <c r="BM259" s="13">
        <f>FAR[[#This Row],[Accumulated depreciation (Opening balance)]]+FAR[[#This Row],[Depreciation YTD]]+FAR[[#This Row],[Derecognitions (acc dep) '[+']]]</f>
        <v>-6997.5962256263247</v>
      </c>
      <c r="BN259" s="13"/>
      <c r="BO259" s="13"/>
      <c r="BP259" s="13"/>
      <c r="BQ259" s="13"/>
      <c r="BR25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59" s="13">
        <f>FAR[[#This Row],[Cost Price (closing balance)]]+FAR[[#This Row],[Accumulated depreciation (Closing balance)]]+FAR[[#This Row],[Accumulated impairments (Closing balance)]]</f>
        <v>2.4037743736753328</v>
      </c>
      <c r="BT259" s="13"/>
      <c r="BU259" s="13"/>
      <c r="BV259" s="13"/>
      <c r="BW259" s="10" t="s">
        <v>167</v>
      </c>
      <c r="BX259" s="9" t="s">
        <v>168</v>
      </c>
      <c r="BY259" s="10"/>
      <c r="BZ259" t="s">
        <v>975</v>
      </c>
      <c r="CA259"/>
      <c r="CB259" s="34"/>
      <c r="CC259" s="34"/>
      <c r="CD259" s="34"/>
      <c r="CE259" s="141"/>
    </row>
    <row r="260" spans="1:83">
      <c r="A260" s="35">
        <v>1114</v>
      </c>
      <c r="B260" s="9" t="s">
        <v>869</v>
      </c>
      <c r="C260" s="9" t="s">
        <v>54</v>
      </c>
      <c r="D260" s="10" t="s">
        <v>1</v>
      </c>
      <c r="E260" s="9" t="s">
        <v>115</v>
      </c>
      <c r="F260" s="36" t="s">
        <v>99</v>
      </c>
      <c r="G260" s="9" t="s">
        <v>100</v>
      </c>
      <c r="H260" s="3" t="s">
        <v>128</v>
      </c>
      <c r="I260" s="9" t="s">
        <v>100</v>
      </c>
      <c r="J260" s="36" t="s">
        <v>101</v>
      </c>
      <c r="K260" s="10" t="s">
        <v>559</v>
      </c>
      <c r="L260" s="10" t="s">
        <v>559</v>
      </c>
      <c r="M260" s="9" t="s">
        <v>100</v>
      </c>
      <c r="N260" s="10" t="s">
        <v>546</v>
      </c>
      <c r="O260" s="9" t="s">
        <v>100</v>
      </c>
      <c r="P260" s="10"/>
      <c r="Q260" s="10" t="s">
        <v>546</v>
      </c>
      <c r="R260" s="10" t="s">
        <v>119</v>
      </c>
      <c r="S260" s="10" t="s">
        <v>130</v>
      </c>
      <c r="T260" s="10" t="s">
        <v>120</v>
      </c>
      <c r="U260" s="10" t="s">
        <v>101</v>
      </c>
      <c r="V260" s="10" t="s">
        <v>121</v>
      </c>
      <c r="W260" s="10" t="s">
        <v>122</v>
      </c>
      <c r="X260" s="10" t="s">
        <v>123</v>
      </c>
      <c r="Y260" s="29">
        <v>1</v>
      </c>
      <c r="Z260" s="138" t="s">
        <v>596</v>
      </c>
      <c r="AA260" s="138">
        <v>43285</v>
      </c>
      <c r="AB260" s="9" t="s">
        <v>114</v>
      </c>
      <c r="AC260" s="9" t="s">
        <v>124</v>
      </c>
      <c r="AD260" s="15">
        <v>44651</v>
      </c>
      <c r="AE260" s="39" t="s">
        <v>125</v>
      </c>
      <c r="AF260" s="177">
        <v>6</v>
      </c>
      <c r="AG260" s="140">
        <v>0</v>
      </c>
      <c r="AH260" s="9">
        <v>0</v>
      </c>
      <c r="AI260" s="10" t="s">
        <v>126</v>
      </c>
      <c r="AJ260" s="10"/>
      <c r="AK260" s="29"/>
      <c r="AL260" s="12">
        <v>1.0082191780821916</v>
      </c>
      <c r="AM260" s="10"/>
      <c r="AN260" s="12">
        <f>FAR[[#This Row],[Opening RUL]]+FAR[[#This Row],[RUL Adjustment]]</f>
        <v>1.0082191780821916</v>
      </c>
      <c r="AO260" s="12">
        <f>FAR[[#This Row],[Opening RUL 30 June 2026]]-1</f>
        <v>8.219178082191636E-3</v>
      </c>
      <c r="AP260" s="12" t="s">
        <v>1050</v>
      </c>
      <c r="AQ260" s="139"/>
      <c r="AR260" s="10" t="s">
        <v>127</v>
      </c>
      <c r="AS260" s="13">
        <v>3500</v>
      </c>
      <c r="AT260" s="13"/>
      <c r="AU260" s="13">
        <v>0</v>
      </c>
      <c r="AV260" s="13">
        <v>0</v>
      </c>
      <c r="AW260" s="13">
        <v>0</v>
      </c>
      <c r="AX260" s="13">
        <v>3500</v>
      </c>
      <c r="AY260" s="13">
        <v>147.43149491872964</v>
      </c>
      <c r="AZ260" s="13">
        <v>0</v>
      </c>
      <c r="BA260" s="13"/>
      <c r="BB260" s="13"/>
      <c r="BC260" s="13">
        <v>-3352.5685050812704</v>
      </c>
      <c r="BD260" s="13"/>
      <c r="BE260" s="13" t="s">
        <v>114</v>
      </c>
      <c r="BF260" s="29"/>
      <c r="BG260" s="13"/>
      <c r="BH260" s="13">
        <f>-FAR[[#This Row],[Carrying value (opening balance)]]/FAR[[#This Row],[Opening RUL 30 June 2026]]</f>
        <v>-146.2296077318922</v>
      </c>
      <c r="BI260" s="13">
        <f>FAR[[#This Row],[Depreciation YTD]]/12</f>
        <v>-12.185800644324351</v>
      </c>
      <c r="BJ260" s="13"/>
      <c r="BK260" s="13" t="s">
        <v>116</v>
      </c>
      <c r="BL260" s="13">
        <v>0</v>
      </c>
      <c r="BM260" s="13">
        <f>FAR[[#This Row],[Accumulated depreciation (Opening balance)]]+FAR[[#This Row],[Depreciation YTD]]+FAR[[#This Row],[Derecognitions (acc dep) '[+']]]</f>
        <v>-3498.7981128131623</v>
      </c>
      <c r="BN260" s="13"/>
      <c r="BO260" s="13"/>
      <c r="BP260" s="13"/>
      <c r="BQ260" s="13"/>
      <c r="BR26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60" s="13">
        <f>FAR[[#This Row],[Cost Price (closing balance)]]+FAR[[#This Row],[Accumulated depreciation (Closing balance)]]+FAR[[#This Row],[Accumulated impairments (Closing balance)]]</f>
        <v>1.2018871868376664</v>
      </c>
      <c r="BT260" s="13"/>
      <c r="BU260" s="13"/>
      <c r="BV260" s="13"/>
      <c r="BW260" s="10" t="s">
        <v>167</v>
      </c>
      <c r="BX260" s="9" t="s">
        <v>168</v>
      </c>
      <c r="BY260" s="10"/>
      <c r="BZ260" t="s">
        <v>952</v>
      </c>
      <c r="CA260"/>
      <c r="CB260" s="34"/>
      <c r="CC260" s="34"/>
      <c r="CD260" s="34"/>
      <c r="CE260" s="141"/>
    </row>
    <row r="261" spans="1:83">
      <c r="A261" s="35">
        <v>1115</v>
      </c>
      <c r="B261" s="9" t="s">
        <v>870</v>
      </c>
      <c r="C261" s="9" t="s">
        <v>54</v>
      </c>
      <c r="D261" s="10" t="s">
        <v>1</v>
      </c>
      <c r="E261" s="9" t="s">
        <v>115</v>
      </c>
      <c r="F261" s="36" t="s">
        <v>99</v>
      </c>
      <c r="G261" s="9" t="s">
        <v>100</v>
      </c>
      <c r="H261" s="3" t="s">
        <v>128</v>
      </c>
      <c r="I261" s="9" t="s">
        <v>100</v>
      </c>
      <c r="J261" s="36" t="s">
        <v>101</v>
      </c>
      <c r="K261" s="10" t="s">
        <v>559</v>
      </c>
      <c r="L261" s="10" t="s">
        <v>559</v>
      </c>
      <c r="M261" s="9" t="s">
        <v>100</v>
      </c>
      <c r="N261" s="10" t="s">
        <v>546</v>
      </c>
      <c r="O261" s="9" t="s">
        <v>100</v>
      </c>
      <c r="P261" s="10"/>
      <c r="Q261" s="10" t="s">
        <v>546</v>
      </c>
      <c r="R261" s="10" t="s">
        <v>119</v>
      </c>
      <c r="S261" s="10" t="s">
        <v>130</v>
      </c>
      <c r="T261" s="10" t="s">
        <v>120</v>
      </c>
      <c r="U261" s="10" t="s">
        <v>101</v>
      </c>
      <c r="V261" s="10" t="s">
        <v>121</v>
      </c>
      <c r="W261" s="10" t="s">
        <v>122</v>
      </c>
      <c r="X261" s="10" t="s">
        <v>123</v>
      </c>
      <c r="Y261" s="29">
        <v>1</v>
      </c>
      <c r="Z261" s="138" t="s">
        <v>596</v>
      </c>
      <c r="AA261" s="138">
        <v>43285</v>
      </c>
      <c r="AB261" s="9" t="s">
        <v>114</v>
      </c>
      <c r="AC261" s="9" t="s">
        <v>124</v>
      </c>
      <c r="AD261" s="15">
        <v>44651</v>
      </c>
      <c r="AE261" s="39" t="s">
        <v>125</v>
      </c>
      <c r="AF261" s="177">
        <v>6</v>
      </c>
      <c r="AG261" s="140">
        <v>0</v>
      </c>
      <c r="AH261" s="9">
        <v>0</v>
      </c>
      <c r="AI261" s="10" t="s">
        <v>126</v>
      </c>
      <c r="AJ261" s="10"/>
      <c r="AK261" s="29"/>
      <c r="AL261" s="12">
        <v>1.0082191780821916</v>
      </c>
      <c r="AM261" s="10"/>
      <c r="AN261" s="12">
        <f>FAR[[#This Row],[Opening RUL]]+FAR[[#This Row],[RUL Adjustment]]</f>
        <v>1.0082191780821916</v>
      </c>
      <c r="AO261" s="12">
        <f>FAR[[#This Row],[Opening RUL 30 June 2026]]-1</f>
        <v>8.219178082191636E-3</v>
      </c>
      <c r="AP261" s="12" t="s">
        <v>1050</v>
      </c>
      <c r="AQ261" s="139"/>
      <c r="AR261" s="10" t="s">
        <v>127</v>
      </c>
      <c r="AS261" s="13">
        <v>3500</v>
      </c>
      <c r="AT261" s="13"/>
      <c r="AU261" s="13">
        <v>0</v>
      </c>
      <c r="AV261" s="13">
        <v>0</v>
      </c>
      <c r="AW261" s="13">
        <v>0</v>
      </c>
      <c r="AX261" s="13">
        <v>3500</v>
      </c>
      <c r="AY261" s="13">
        <v>147.43149491872964</v>
      </c>
      <c r="AZ261" s="13">
        <v>0</v>
      </c>
      <c r="BA261" s="13"/>
      <c r="BB261" s="13"/>
      <c r="BC261" s="13">
        <v>-3352.5685050812704</v>
      </c>
      <c r="BD261" s="13"/>
      <c r="BE261" s="13" t="s">
        <v>114</v>
      </c>
      <c r="BF261" s="29"/>
      <c r="BG261" s="13"/>
      <c r="BH261" s="13">
        <f>-FAR[[#This Row],[Carrying value (opening balance)]]/FAR[[#This Row],[Opening RUL 30 June 2026]]</f>
        <v>-146.2296077318922</v>
      </c>
      <c r="BI261" s="13">
        <f>FAR[[#This Row],[Depreciation YTD]]/12</f>
        <v>-12.185800644324351</v>
      </c>
      <c r="BJ261" s="13"/>
      <c r="BK261" s="13" t="s">
        <v>116</v>
      </c>
      <c r="BL261" s="13">
        <v>0</v>
      </c>
      <c r="BM261" s="13">
        <f>FAR[[#This Row],[Accumulated depreciation (Opening balance)]]+FAR[[#This Row],[Depreciation YTD]]+FAR[[#This Row],[Derecognitions (acc dep) '[+']]]</f>
        <v>-3498.7981128131623</v>
      </c>
      <c r="BN261" s="13"/>
      <c r="BO261" s="13"/>
      <c r="BP261" s="13"/>
      <c r="BQ261" s="13"/>
      <c r="BR26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61" s="13">
        <f>FAR[[#This Row],[Cost Price (closing balance)]]+FAR[[#This Row],[Accumulated depreciation (Closing balance)]]+FAR[[#This Row],[Accumulated impairments (Closing balance)]]</f>
        <v>1.2018871868376664</v>
      </c>
      <c r="BT261" s="13"/>
      <c r="BU261" s="13"/>
      <c r="BV261" s="13"/>
      <c r="BW261" s="10" t="s">
        <v>167</v>
      </c>
      <c r="BX261" s="9" t="s">
        <v>168</v>
      </c>
      <c r="BY261" s="10"/>
      <c r="BZ261" t="s">
        <v>953</v>
      </c>
      <c r="CA261"/>
      <c r="CB261" s="34"/>
      <c r="CC261" s="34"/>
      <c r="CD261" s="34"/>
      <c r="CE261" s="141"/>
    </row>
    <row r="262" spans="1:83">
      <c r="A262" s="35">
        <v>1116</v>
      </c>
      <c r="B262" s="9" t="s">
        <v>877</v>
      </c>
      <c r="C262" s="9" t="s">
        <v>54</v>
      </c>
      <c r="D262" s="10" t="s">
        <v>1</v>
      </c>
      <c r="E262" s="9" t="s">
        <v>115</v>
      </c>
      <c r="F262" s="36" t="s">
        <v>99</v>
      </c>
      <c r="G262" s="9" t="s">
        <v>100</v>
      </c>
      <c r="H262" s="3" t="s">
        <v>128</v>
      </c>
      <c r="I262" s="9" t="s">
        <v>100</v>
      </c>
      <c r="J262" s="36" t="s">
        <v>101</v>
      </c>
      <c r="K262" s="10" t="s">
        <v>559</v>
      </c>
      <c r="L262" s="10" t="s">
        <v>559</v>
      </c>
      <c r="M262" s="9" t="s">
        <v>100</v>
      </c>
      <c r="N262" s="10" t="s">
        <v>546</v>
      </c>
      <c r="O262" s="9" t="s">
        <v>100</v>
      </c>
      <c r="P262" s="10"/>
      <c r="Q262" s="10" t="s">
        <v>546</v>
      </c>
      <c r="R262" s="10" t="s">
        <v>119</v>
      </c>
      <c r="S262" s="10" t="s">
        <v>130</v>
      </c>
      <c r="T262" s="10" t="s">
        <v>120</v>
      </c>
      <c r="U262" s="10" t="s">
        <v>101</v>
      </c>
      <c r="V262" s="10" t="s">
        <v>121</v>
      </c>
      <c r="W262" s="10" t="s">
        <v>122</v>
      </c>
      <c r="X262" s="10" t="s">
        <v>123</v>
      </c>
      <c r="Y262" s="29">
        <v>1</v>
      </c>
      <c r="Z262" s="138" t="s">
        <v>596</v>
      </c>
      <c r="AA262" s="138">
        <v>43285</v>
      </c>
      <c r="AB262" s="9" t="s">
        <v>114</v>
      </c>
      <c r="AC262" s="9" t="s">
        <v>124</v>
      </c>
      <c r="AD262" s="15">
        <v>44651</v>
      </c>
      <c r="AE262" s="39" t="s">
        <v>125</v>
      </c>
      <c r="AF262" s="177">
        <v>6</v>
      </c>
      <c r="AG262" s="140">
        <v>0</v>
      </c>
      <c r="AH262" s="9">
        <v>0</v>
      </c>
      <c r="AI262" s="10" t="s">
        <v>126</v>
      </c>
      <c r="AJ262" s="10"/>
      <c r="AK262" s="29"/>
      <c r="AL262" s="12">
        <v>1.0082191780821916</v>
      </c>
      <c r="AM262" s="10"/>
      <c r="AN262" s="12">
        <f>FAR[[#This Row],[Opening RUL]]+FAR[[#This Row],[RUL Adjustment]]</f>
        <v>1.0082191780821916</v>
      </c>
      <c r="AO262" s="12">
        <f>FAR[[#This Row],[Opening RUL 30 June 2026]]-1</f>
        <v>8.219178082191636E-3</v>
      </c>
      <c r="AP262" s="12" t="s">
        <v>1050</v>
      </c>
      <c r="AQ262" s="139"/>
      <c r="AR262" s="10" t="s">
        <v>127</v>
      </c>
      <c r="AS262" s="13">
        <v>3500</v>
      </c>
      <c r="AT262" s="13"/>
      <c r="AU262" s="13">
        <v>0</v>
      </c>
      <c r="AV262" s="13">
        <v>0</v>
      </c>
      <c r="AW262" s="13">
        <v>0</v>
      </c>
      <c r="AX262" s="13">
        <v>3500</v>
      </c>
      <c r="AY262" s="13">
        <v>147.43149491872964</v>
      </c>
      <c r="AZ262" s="13">
        <v>0</v>
      </c>
      <c r="BA262" s="13"/>
      <c r="BB262" s="13"/>
      <c r="BC262" s="13">
        <v>-3352.5685050812704</v>
      </c>
      <c r="BD262" s="13"/>
      <c r="BE262" s="13" t="s">
        <v>114</v>
      </c>
      <c r="BF262" s="29"/>
      <c r="BG262" s="13"/>
      <c r="BH262" s="13">
        <f>-FAR[[#This Row],[Carrying value (opening balance)]]/FAR[[#This Row],[Opening RUL 30 June 2026]]</f>
        <v>-146.2296077318922</v>
      </c>
      <c r="BI262" s="13">
        <f>FAR[[#This Row],[Depreciation YTD]]/12</f>
        <v>-12.185800644324351</v>
      </c>
      <c r="BJ262" s="13"/>
      <c r="BK262" s="13" t="s">
        <v>116</v>
      </c>
      <c r="BL262" s="13">
        <v>0</v>
      </c>
      <c r="BM262" s="13">
        <f>FAR[[#This Row],[Accumulated depreciation (Opening balance)]]+FAR[[#This Row],[Depreciation YTD]]+FAR[[#This Row],[Derecognitions (acc dep) '[+']]]</f>
        <v>-3498.7981128131623</v>
      </c>
      <c r="BN262" s="13"/>
      <c r="BO262" s="13"/>
      <c r="BP262" s="13"/>
      <c r="BQ262" s="13"/>
      <c r="BR26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62" s="13">
        <f>FAR[[#This Row],[Cost Price (closing balance)]]+FAR[[#This Row],[Accumulated depreciation (Closing balance)]]+FAR[[#This Row],[Accumulated impairments (Closing balance)]]</f>
        <v>1.2018871868376664</v>
      </c>
      <c r="BT262" s="13"/>
      <c r="BU262" s="13"/>
      <c r="BV262" s="13"/>
      <c r="BW262" s="10" t="s">
        <v>167</v>
      </c>
      <c r="BX262" s="9" t="s">
        <v>168</v>
      </c>
      <c r="BY262" s="10"/>
      <c r="BZ262" t="s">
        <v>1016</v>
      </c>
      <c r="CA262"/>
      <c r="CB262" s="34"/>
      <c r="CC262" s="34"/>
      <c r="CD262" s="34"/>
      <c r="CE262" s="141"/>
    </row>
    <row r="263" spans="1:83">
      <c r="A263" s="35">
        <v>1118</v>
      </c>
      <c r="B263" s="9" t="s">
        <v>885</v>
      </c>
      <c r="C263" s="9" t="s">
        <v>54</v>
      </c>
      <c r="D263" s="10" t="s">
        <v>1</v>
      </c>
      <c r="E263" s="9" t="s">
        <v>115</v>
      </c>
      <c r="F263" s="36" t="s">
        <v>99</v>
      </c>
      <c r="G263" s="9" t="s">
        <v>100</v>
      </c>
      <c r="H263" s="3" t="s">
        <v>128</v>
      </c>
      <c r="I263" s="9" t="s">
        <v>100</v>
      </c>
      <c r="J263" s="36" t="s">
        <v>101</v>
      </c>
      <c r="K263" s="10" t="s">
        <v>559</v>
      </c>
      <c r="L263" s="10" t="s">
        <v>559</v>
      </c>
      <c r="M263" s="9" t="s">
        <v>100</v>
      </c>
      <c r="N263" s="10" t="s">
        <v>547</v>
      </c>
      <c r="O263" s="9" t="s">
        <v>100</v>
      </c>
      <c r="P263" s="10"/>
      <c r="Q263" s="10" t="s">
        <v>547</v>
      </c>
      <c r="R263" s="10" t="s">
        <v>119</v>
      </c>
      <c r="S263" s="10" t="s">
        <v>130</v>
      </c>
      <c r="T263" s="10" t="s">
        <v>120</v>
      </c>
      <c r="U263" s="10" t="s">
        <v>101</v>
      </c>
      <c r="V263" s="10" t="s">
        <v>121</v>
      </c>
      <c r="W263" s="10" t="s">
        <v>122</v>
      </c>
      <c r="X263" s="10" t="s">
        <v>123</v>
      </c>
      <c r="Y263" s="29">
        <v>1</v>
      </c>
      <c r="Z263" s="138" t="s">
        <v>596</v>
      </c>
      <c r="AA263" s="138">
        <v>43285</v>
      </c>
      <c r="AB263" s="9" t="s">
        <v>114</v>
      </c>
      <c r="AC263" s="9" t="s">
        <v>124</v>
      </c>
      <c r="AD263" s="15">
        <v>44651</v>
      </c>
      <c r="AE263" s="39" t="s">
        <v>125</v>
      </c>
      <c r="AF263" s="177">
        <v>6</v>
      </c>
      <c r="AG263" s="140">
        <v>0</v>
      </c>
      <c r="AH263" s="9">
        <v>0</v>
      </c>
      <c r="AI263" s="10" t="s">
        <v>126</v>
      </c>
      <c r="AJ263" s="10"/>
      <c r="AK263" s="29"/>
      <c r="AL263" s="12">
        <v>1.0082191780821916</v>
      </c>
      <c r="AM263" s="10"/>
      <c r="AN263" s="12">
        <f>FAR[[#This Row],[Opening RUL]]+FAR[[#This Row],[RUL Adjustment]]</f>
        <v>1.0082191780821916</v>
      </c>
      <c r="AO263" s="12">
        <f>FAR[[#This Row],[Opening RUL 30 June 2026]]-1</f>
        <v>8.219178082191636E-3</v>
      </c>
      <c r="AP263" s="12" t="s">
        <v>1050</v>
      </c>
      <c r="AQ263" s="139"/>
      <c r="AR263" s="10" t="s">
        <v>127</v>
      </c>
      <c r="AS263" s="13">
        <v>14000</v>
      </c>
      <c r="AT263" s="13"/>
      <c r="AU263" s="13">
        <v>0</v>
      </c>
      <c r="AV263" s="13">
        <v>0</v>
      </c>
      <c r="AW263" s="13">
        <v>0</v>
      </c>
      <c r="AX263" s="13">
        <v>14000</v>
      </c>
      <c r="AY263" s="13">
        <v>589.72597967491856</v>
      </c>
      <c r="AZ263" s="13">
        <v>0</v>
      </c>
      <c r="BA263" s="13"/>
      <c r="BB263" s="13"/>
      <c r="BC263" s="13">
        <v>-13410.274020325081</v>
      </c>
      <c r="BD263" s="13"/>
      <c r="BE263" s="13" t="s">
        <v>114</v>
      </c>
      <c r="BF263" s="29"/>
      <c r="BG263" s="13"/>
      <c r="BH263" s="13">
        <f>-FAR[[#This Row],[Carrying value (opening balance)]]/FAR[[#This Row],[Opening RUL 30 June 2026]]</f>
        <v>-584.91843092756881</v>
      </c>
      <c r="BI263" s="13">
        <f>FAR[[#This Row],[Depreciation YTD]]/12</f>
        <v>-48.743202577297403</v>
      </c>
      <c r="BJ263" s="13"/>
      <c r="BK263" s="13" t="s">
        <v>116</v>
      </c>
      <c r="BL263" s="13">
        <v>0</v>
      </c>
      <c r="BM263" s="13">
        <f>FAR[[#This Row],[Accumulated depreciation (Opening balance)]]+FAR[[#This Row],[Depreciation YTD]]+FAR[[#This Row],[Derecognitions (acc dep) '[+']]]</f>
        <v>-13995.192451252649</v>
      </c>
      <c r="BN263" s="13"/>
      <c r="BO263" s="13"/>
      <c r="BP263" s="13"/>
      <c r="BQ263" s="13"/>
      <c r="BR26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63" s="13">
        <f>FAR[[#This Row],[Cost Price (closing balance)]]+FAR[[#This Row],[Accumulated depreciation (Closing balance)]]+FAR[[#This Row],[Accumulated impairments (Closing balance)]]</f>
        <v>4.8075487473506655</v>
      </c>
      <c r="BT263" s="13"/>
      <c r="BU263" s="13"/>
      <c r="BV263" s="13"/>
      <c r="BW263" s="10" t="s">
        <v>167</v>
      </c>
      <c r="BX263" s="9" t="s">
        <v>168</v>
      </c>
      <c r="BY263" s="10"/>
      <c r="BZ263" t="s">
        <v>974</v>
      </c>
      <c r="CA263"/>
      <c r="CB263" s="34"/>
      <c r="CC263" s="34"/>
      <c r="CD263" s="34"/>
      <c r="CE263" s="141"/>
    </row>
    <row r="264" spans="1:83">
      <c r="A264" s="35">
        <v>1120</v>
      </c>
      <c r="B264" s="9" t="s">
        <v>885</v>
      </c>
      <c r="C264" s="9" t="s">
        <v>54</v>
      </c>
      <c r="D264" s="10" t="s">
        <v>1</v>
      </c>
      <c r="E264" s="9" t="s">
        <v>115</v>
      </c>
      <c r="F264" s="36" t="s">
        <v>99</v>
      </c>
      <c r="G264" s="9" t="s">
        <v>100</v>
      </c>
      <c r="H264" s="3" t="s">
        <v>128</v>
      </c>
      <c r="I264" s="9" t="s">
        <v>100</v>
      </c>
      <c r="J264" s="36" t="s">
        <v>101</v>
      </c>
      <c r="K264" s="10" t="s">
        <v>559</v>
      </c>
      <c r="L264" s="10" t="s">
        <v>559</v>
      </c>
      <c r="M264" s="9" t="s">
        <v>100</v>
      </c>
      <c r="N264" s="10" t="s">
        <v>548</v>
      </c>
      <c r="O264" s="9" t="s">
        <v>100</v>
      </c>
      <c r="P264" s="10"/>
      <c r="Q264" s="10" t="s">
        <v>548</v>
      </c>
      <c r="R264" s="10" t="s">
        <v>119</v>
      </c>
      <c r="S264" s="10" t="s">
        <v>130</v>
      </c>
      <c r="T264" s="10" t="s">
        <v>120</v>
      </c>
      <c r="U264" s="10" t="s">
        <v>101</v>
      </c>
      <c r="V264" s="10" t="s">
        <v>121</v>
      </c>
      <c r="W264" s="10" t="s">
        <v>122</v>
      </c>
      <c r="X264" s="10" t="s">
        <v>123</v>
      </c>
      <c r="Y264" s="29">
        <v>1</v>
      </c>
      <c r="Z264" s="138" t="s">
        <v>596</v>
      </c>
      <c r="AA264" s="138">
        <v>43285</v>
      </c>
      <c r="AB264" s="9" t="s">
        <v>114</v>
      </c>
      <c r="AC264" s="9" t="s">
        <v>124</v>
      </c>
      <c r="AD264" s="15">
        <v>44651</v>
      </c>
      <c r="AE264" s="39" t="s">
        <v>125</v>
      </c>
      <c r="AF264" s="177">
        <v>6</v>
      </c>
      <c r="AG264" s="140">
        <v>0</v>
      </c>
      <c r="AH264" s="9">
        <v>0</v>
      </c>
      <c r="AI264" s="10" t="s">
        <v>126</v>
      </c>
      <c r="AJ264" s="10"/>
      <c r="AK264" s="29"/>
      <c r="AL264" s="12">
        <v>1.0082191780821916</v>
      </c>
      <c r="AM264" s="10"/>
      <c r="AN264" s="12">
        <f>FAR[[#This Row],[Opening RUL]]+FAR[[#This Row],[RUL Adjustment]]</f>
        <v>1.0082191780821916</v>
      </c>
      <c r="AO264" s="12">
        <f>FAR[[#This Row],[Opening RUL 30 June 2026]]-1</f>
        <v>8.219178082191636E-3</v>
      </c>
      <c r="AP264" s="12" t="s">
        <v>1050</v>
      </c>
      <c r="AQ264" s="139"/>
      <c r="AR264" s="10" t="s">
        <v>127</v>
      </c>
      <c r="AS264" s="13">
        <v>13000</v>
      </c>
      <c r="AT264" s="13"/>
      <c r="AU264" s="13">
        <v>0</v>
      </c>
      <c r="AV264" s="13">
        <v>0</v>
      </c>
      <c r="AW264" s="13">
        <v>0</v>
      </c>
      <c r="AX264" s="13">
        <v>13000</v>
      </c>
      <c r="AY264" s="13">
        <v>547.60269541242451</v>
      </c>
      <c r="AZ264" s="13">
        <v>0</v>
      </c>
      <c r="BA264" s="13"/>
      <c r="BB264" s="13"/>
      <c r="BC264" s="13">
        <v>-12452.397304587575</v>
      </c>
      <c r="BD264" s="13"/>
      <c r="BE264" s="13" t="s">
        <v>114</v>
      </c>
      <c r="BF264" s="29"/>
      <c r="BG264" s="13"/>
      <c r="BH264" s="13">
        <f>-FAR[[#This Row],[Carrying value (opening balance)]]/FAR[[#This Row],[Opening RUL 30 June 2026]]</f>
        <v>-543.13854300417108</v>
      </c>
      <c r="BI264" s="13">
        <f>FAR[[#This Row],[Depreciation YTD]]/12</f>
        <v>-45.261545250347588</v>
      </c>
      <c r="BJ264" s="13"/>
      <c r="BK264" s="13" t="s">
        <v>116</v>
      </c>
      <c r="BL264" s="13">
        <v>0</v>
      </c>
      <c r="BM264" s="13">
        <f>FAR[[#This Row],[Accumulated depreciation (Opening balance)]]+FAR[[#This Row],[Depreciation YTD]]+FAR[[#This Row],[Derecognitions (acc dep) '[+']]]</f>
        <v>-12995.535847591747</v>
      </c>
      <c r="BN264" s="13"/>
      <c r="BO264" s="13"/>
      <c r="BP264" s="13"/>
      <c r="BQ264" s="13"/>
      <c r="BR26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64" s="13">
        <f>FAR[[#This Row],[Cost Price (closing balance)]]+FAR[[#This Row],[Accumulated depreciation (Closing balance)]]+FAR[[#This Row],[Accumulated impairments (Closing balance)]]</f>
        <v>4.4641524082526303</v>
      </c>
      <c r="BT264" s="13"/>
      <c r="BU264" s="13"/>
      <c r="BV264" s="13"/>
      <c r="BW264" s="10" t="s">
        <v>167</v>
      </c>
      <c r="BX264" s="9" t="s">
        <v>168</v>
      </c>
      <c r="BY264" s="10"/>
      <c r="BZ264" t="s">
        <v>974</v>
      </c>
      <c r="CA264"/>
      <c r="CB264" s="34"/>
      <c r="CC264" s="34"/>
      <c r="CD264" s="34"/>
      <c r="CE264" s="141"/>
    </row>
    <row r="265" spans="1:83">
      <c r="A265" s="35">
        <v>1121</v>
      </c>
      <c r="B265" s="9" t="s">
        <v>859</v>
      </c>
      <c r="C265" s="9" t="s">
        <v>54</v>
      </c>
      <c r="D265" s="10" t="s">
        <v>1</v>
      </c>
      <c r="E265" s="9" t="s">
        <v>115</v>
      </c>
      <c r="F265" s="36" t="s">
        <v>99</v>
      </c>
      <c r="G265" s="9" t="s">
        <v>100</v>
      </c>
      <c r="H265" s="3" t="s">
        <v>128</v>
      </c>
      <c r="I265" s="9" t="s">
        <v>100</v>
      </c>
      <c r="J265" s="36" t="s">
        <v>101</v>
      </c>
      <c r="K265" s="10" t="s">
        <v>559</v>
      </c>
      <c r="L265" s="10" t="s">
        <v>559</v>
      </c>
      <c r="M265" s="9" t="s">
        <v>100</v>
      </c>
      <c r="N265" s="10" t="s">
        <v>549</v>
      </c>
      <c r="O265" s="9" t="s">
        <v>100</v>
      </c>
      <c r="P265" s="10"/>
      <c r="Q265" s="10" t="s">
        <v>549</v>
      </c>
      <c r="R265" s="10" t="s">
        <v>119</v>
      </c>
      <c r="S265" s="10" t="s">
        <v>130</v>
      </c>
      <c r="T265" s="10" t="s">
        <v>120</v>
      </c>
      <c r="U265" s="10" t="s">
        <v>101</v>
      </c>
      <c r="V265" s="10" t="s">
        <v>121</v>
      </c>
      <c r="W265" s="10" t="s">
        <v>122</v>
      </c>
      <c r="X265" s="10" t="s">
        <v>123</v>
      </c>
      <c r="Y265" s="29">
        <v>1</v>
      </c>
      <c r="Z265" s="138" t="s">
        <v>596</v>
      </c>
      <c r="AA265" s="138">
        <v>43285</v>
      </c>
      <c r="AB265" s="9" t="s">
        <v>114</v>
      </c>
      <c r="AC265" s="9" t="s">
        <v>124</v>
      </c>
      <c r="AD265" s="15">
        <v>44651</v>
      </c>
      <c r="AE265" s="39" t="s">
        <v>125</v>
      </c>
      <c r="AF265" s="177">
        <v>6</v>
      </c>
      <c r="AG265" s="140">
        <v>0</v>
      </c>
      <c r="AH265" s="9">
        <v>0</v>
      </c>
      <c r="AI265" s="10" t="s">
        <v>126</v>
      </c>
      <c r="AJ265" s="10"/>
      <c r="AK265" s="29"/>
      <c r="AL265" s="12">
        <v>1.0082191780821916</v>
      </c>
      <c r="AM265" s="10"/>
      <c r="AN265" s="12">
        <f>FAR[[#This Row],[Opening RUL]]+FAR[[#This Row],[RUL Adjustment]]</f>
        <v>1.0082191780821916</v>
      </c>
      <c r="AO265" s="12">
        <f>FAR[[#This Row],[Opening RUL 30 June 2026]]-1</f>
        <v>8.219178082191636E-3</v>
      </c>
      <c r="AP265" s="12" t="s">
        <v>1050</v>
      </c>
      <c r="AQ265" s="139"/>
      <c r="AR265" s="10" t="s">
        <v>127</v>
      </c>
      <c r="AS265" s="13">
        <v>8520</v>
      </c>
      <c r="AT265" s="13"/>
      <c r="AU265" s="13">
        <v>0</v>
      </c>
      <c r="AV265" s="13">
        <v>0</v>
      </c>
      <c r="AW265" s="13">
        <v>0</v>
      </c>
      <c r="AX265" s="13">
        <v>8520</v>
      </c>
      <c r="AY265" s="13">
        <v>358.89038191644977</v>
      </c>
      <c r="AZ265" s="13">
        <v>0</v>
      </c>
      <c r="BA265" s="13"/>
      <c r="BB265" s="13"/>
      <c r="BC265" s="13">
        <v>-8161.1096180835502</v>
      </c>
      <c r="BD265" s="13"/>
      <c r="BE265" s="13" t="s">
        <v>114</v>
      </c>
      <c r="BF265" s="29"/>
      <c r="BG265" s="13"/>
      <c r="BH265" s="13">
        <f>-FAR[[#This Row],[Carrying value (opening balance)]]/FAR[[#This Row],[Opening RUL 30 June 2026]]</f>
        <v>-355.9646451073483</v>
      </c>
      <c r="BI265" s="13">
        <f>FAR[[#This Row],[Depreciation YTD]]/12</f>
        <v>-29.663720425612357</v>
      </c>
      <c r="BJ265" s="13"/>
      <c r="BK265" s="13" t="s">
        <v>116</v>
      </c>
      <c r="BL265" s="13">
        <v>0</v>
      </c>
      <c r="BM265" s="13">
        <f>FAR[[#This Row],[Accumulated depreciation (Opening balance)]]+FAR[[#This Row],[Depreciation YTD]]+FAR[[#This Row],[Derecognitions (acc dep) '[+']]]</f>
        <v>-8517.0742631908979</v>
      </c>
      <c r="BN265" s="13"/>
      <c r="BO265" s="13"/>
      <c r="BP265" s="13"/>
      <c r="BQ265" s="13"/>
      <c r="BR26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65" s="13">
        <f>FAR[[#This Row],[Cost Price (closing balance)]]+FAR[[#This Row],[Accumulated depreciation (Closing balance)]]+FAR[[#This Row],[Accumulated impairments (Closing balance)]]</f>
        <v>2.9257368091020908</v>
      </c>
      <c r="BT265" s="13"/>
      <c r="BU265" s="13"/>
      <c r="BV265" s="13"/>
      <c r="BW265" s="10" t="s">
        <v>167</v>
      </c>
      <c r="BX265" s="9" t="s">
        <v>168</v>
      </c>
      <c r="BY265" s="10"/>
      <c r="BZ265" t="s">
        <v>938</v>
      </c>
      <c r="CA265"/>
      <c r="CB265" s="34"/>
      <c r="CC265" s="34"/>
      <c r="CD265" s="34"/>
      <c r="CE265" s="141"/>
    </row>
    <row r="266" spans="1:83">
      <c r="A266" s="35">
        <v>1122</v>
      </c>
      <c r="B266" s="9" t="s">
        <v>868</v>
      </c>
      <c r="C266" s="9" t="s">
        <v>54</v>
      </c>
      <c r="D266" s="10" t="s">
        <v>1</v>
      </c>
      <c r="E266" s="9" t="s">
        <v>115</v>
      </c>
      <c r="F266" s="36" t="s">
        <v>99</v>
      </c>
      <c r="G266" s="9" t="s">
        <v>100</v>
      </c>
      <c r="H266" s="3" t="s">
        <v>128</v>
      </c>
      <c r="I266" s="9" t="s">
        <v>100</v>
      </c>
      <c r="J266" s="36" t="s">
        <v>101</v>
      </c>
      <c r="K266" s="10" t="s">
        <v>559</v>
      </c>
      <c r="L266" s="10" t="s">
        <v>559</v>
      </c>
      <c r="M266" s="9" t="s">
        <v>100</v>
      </c>
      <c r="N266" s="10" t="s">
        <v>549</v>
      </c>
      <c r="O266" s="9" t="s">
        <v>100</v>
      </c>
      <c r="P266" s="10"/>
      <c r="Q266" s="10" t="s">
        <v>549</v>
      </c>
      <c r="R266" s="10" t="s">
        <v>119</v>
      </c>
      <c r="S266" s="10" t="s">
        <v>130</v>
      </c>
      <c r="T266" s="10" t="s">
        <v>120</v>
      </c>
      <c r="U266" s="10" t="s">
        <v>101</v>
      </c>
      <c r="V266" s="10" t="s">
        <v>121</v>
      </c>
      <c r="W266" s="10" t="s">
        <v>122</v>
      </c>
      <c r="X266" s="10" t="s">
        <v>123</v>
      </c>
      <c r="Y266" s="29">
        <v>1</v>
      </c>
      <c r="Z266" s="138" t="s">
        <v>596</v>
      </c>
      <c r="AA266" s="138">
        <v>43285</v>
      </c>
      <c r="AB266" s="9" t="s">
        <v>114</v>
      </c>
      <c r="AC266" s="9" t="s">
        <v>124</v>
      </c>
      <c r="AD266" s="15">
        <v>44651</v>
      </c>
      <c r="AE266" s="39" t="s">
        <v>125</v>
      </c>
      <c r="AF266" s="177">
        <v>6</v>
      </c>
      <c r="AG266" s="140">
        <v>0</v>
      </c>
      <c r="AH266" s="9">
        <v>0</v>
      </c>
      <c r="AI266" s="10" t="s">
        <v>126</v>
      </c>
      <c r="AJ266" s="10"/>
      <c r="AK266" s="29"/>
      <c r="AL266" s="12">
        <v>1.0082191780821916</v>
      </c>
      <c r="AM266" s="10"/>
      <c r="AN266" s="12">
        <f>FAR[[#This Row],[Opening RUL]]+FAR[[#This Row],[RUL Adjustment]]</f>
        <v>1.0082191780821916</v>
      </c>
      <c r="AO266" s="12">
        <f>FAR[[#This Row],[Opening RUL 30 June 2026]]-1</f>
        <v>8.219178082191636E-3</v>
      </c>
      <c r="AP266" s="12" t="s">
        <v>1050</v>
      </c>
      <c r="AQ266" s="139"/>
      <c r="AR266" s="10" t="s">
        <v>127</v>
      </c>
      <c r="AS266" s="13">
        <v>8520</v>
      </c>
      <c r="AT266" s="13"/>
      <c r="AU266" s="13">
        <v>0</v>
      </c>
      <c r="AV266" s="13">
        <v>0</v>
      </c>
      <c r="AW266" s="13">
        <v>0</v>
      </c>
      <c r="AX266" s="13">
        <v>8520</v>
      </c>
      <c r="AY266" s="13">
        <v>358.89038191644977</v>
      </c>
      <c r="AZ266" s="13">
        <v>0</v>
      </c>
      <c r="BA266" s="13"/>
      <c r="BB266" s="13"/>
      <c r="BC266" s="13">
        <v>-8161.1096180835502</v>
      </c>
      <c r="BD266" s="13"/>
      <c r="BE266" s="13" t="s">
        <v>114</v>
      </c>
      <c r="BF266" s="29"/>
      <c r="BG266" s="13"/>
      <c r="BH266" s="13">
        <f>-FAR[[#This Row],[Carrying value (opening balance)]]/FAR[[#This Row],[Opening RUL 30 June 2026]]</f>
        <v>-355.9646451073483</v>
      </c>
      <c r="BI266" s="13">
        <f>FAR[[#This Row],[Depreciation YTD]]/12</f>
        <v>-29.663720425612357</v>
      </c>
      <c r="BJ266" s="13"/>
      <c r="BK266" s="13" t="s">
        <v>116</v>
      </c>
      <c r="BL266" s="13">
        <v>0</v>
      </c>
      <c r="BM266" s="13">
        <f>FAR[[#This Row],[Accumulated depreciation (Opening balance)]]+FAR[[#This Row],[Depreciation YTD]]+FAR[[#This Row],[Derecognitions (acc dep) '[+']]]</f>
        <v>-8517.0742631908979</v>
      </c>
      <c r="BN266" s="13"/>
      <c r="BO266" s="13"/>
      <c r="BP266" s="13"/>
      <c r="BQ266" s="13"/>
      <c r="BR26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66" s="13">
        <f>FAR[[#This Row],[Cost Price (closing balance)]]+FAR[[#This Row],[Accumulated depreciation (Closing balance)]]+FAR[[#This Row],[Accumulated impairments (Closing balance)]]</f>
        <v>2.9257368091020908</v>
      </c>
      <c r="BT266" s="13"/>
      <c r="BU266" s="13"/>
      <c r="BV266" s="13"/>
      <c r="BW266" s="10" t="s">
        <v>167</v>
      </c>
      <c r="BX266" s="9" t="s">
        <v>168</v>
      </c>
      <c r="BY266" s="10"/>
      <c r="BZ266" t="s">
        <v>938</v>
      </c>
      <c r="CA266"/>
      <c r="CB266" s="34"/>
      <c r="CC266" s="34"/>
      <c r="CD266" s="34"/>
      <c r="CE266" s="141"/>
    </row>
    <row r="267" spans="1:83">
      <c r="A267" s="35">
        <v>1123</v>
      </c>
      <c r="B267" s="9" t="s">
        <v>860</v>
      </c>
      <c r="C267" s="9" t="s">
        <v>54</v>
      </c>
      <c r="D267" s="10" t="s">
        <v>1</v>
      </c>
      <c r="E267" s="9" t="s">
        <v>115</v>
      </c>
      <c r="F267" s="36" t="s">
        <v>99</v>
      </c>
      <c r="G267" s="9" t="s">
        <v>100</v>
      </c>
      <c r="H267" s="3" t="s">
        <v>128</v>
      </c>
      <c r="I267" s="9" t="s">
        <v>100</v>
      </c>
      <c r="J267" s="36" t="s">
        <v>101</v>
      </c>
      <c r="K267" s="10" t="s">
        <v>559</v>
      </c>
      <c r="L267" s="10" t="s">
        <v>559</v>
      </c>
      <c r="M267" s="9" t="s">
        <v>100</v>
      </c>
      <c r="N267" s="10" t="s">
        <v>549</v>
      </c>
      <c r="O267" s="9" t="s">
        <v>100</v>
      </c>
      <c r="P267" s="10"/>
      <c r="Q267" s="10" t="s">
        <v>549</v>
      </c>
      <c r="R267" s="10" t="s">
        <v>119</v>
      </c>
      <c r="S267" s="10" t="s">
        <v>130</v>
      </c>
      <c r="T267" s="10" t="s">
        <v>120</v>
      </c>
      <c r="U267" s="10" t="s">
        <v>101</v>
      </c>
      <c r="V267" s="10" t="s">
        <v>121</v>
      </c>
      <c r="W267" s="10" t="s">
        <v>122</v>
      </c>
      <c r="X267" s="10" t="s">
        <v>123</v>
      </c>
      <c r="Y267" s="29">
        <v>1</v>
      </c>
      <c r="Z267" s="138" t="s">
        <v>596</v>
      </c>
      <c r="AA267" s="138">
        <v>43285</v>
      </c>
      <c r="AB267" s="9" t="s">
        <v>114</v>
      </c>
      <c r="AC267" s="9" t="s">
        <v>124</v>
      </c>
      <c r="AD267" s="15">
        <v>44651</v>
      </c>
      <c r="AE267" s="39" t="s">
        <v>125</v>
      </c>
      <c r="AF267" s="177">
        <v>6</v>
      </c>
      <c r="AG267" s="140">
        <v>0</v>
      </c>
      <c r="AH267" s="9">
        <v>0</v>
      </c>
      <c r="AI267" s="10" t="s">
        <v>126</v>
      </c>
      <c r="AJ267" s="10"/>
      <c r="AK267" s="29"/>
      <c r="AL267" s="12">
        <v>1.0082191780821916</v>
      </c>
      <c r="AM267" s="10"/>
      <c r="AN267" s="12">
        <f>FAR[[#This Row],[Opening RUL]]+FAR[[#This Row],[RUL Adjustment]]</f>
        <v>1.0082191780821916</v>
      </c>
      <c r="AO267" s="12">
        <f>FAR[[#This Row],[Opening RUL 30 June 2026]]-1</f>
        <v>8.219178082191636E-3</v>
      </c>
      <c r="AP267" s="12" t="s">
        <v>1050</v>
      </c>
      <c r="AQ267" s="139"/>
      <c r="AR267" s="10" t="s">
        <v>127</v>
      </c>
      <c r="AS267" s="13">
        <v>8520</v>
      </c>
      <c r="AT267" s="13"/>
      <c r="AU267" s="13">
        <v>0</v>
      </c>
      <c r="AV267" s="13">
        <v>0</v>
      </c>
      <c r="AW267" s="13">
        <v>0</v>
      </c>
      <c r="AX267" s="13">
        <v>8520</v>
      </c>
      <c r="AY267" s="13">
        <v>358.89038191644977</v>
      </c>
      <c r="AZ267" s="13">
        <v>0</v>
      </c>
      <c r="BA267" s="13"/>
      <c r="BB267" s="13"/>
      <c r="BC267" s="13">
        <v>-8161.1096180835502</v>
      </c>
      <c r="BD267" s="13"/>
      <c r="BE267" s="13" t="s">
        <v>114</v>
      </c>
      <c r="BF267" s="29"/>
      <c r="BG267" s="13"/>
      <c r="BH267" s="13">
        <f>-FAR[[#This Row],[Carrying value (opening balance)]]/FAR[[#This Row],[Opening RUL 30 June 2026]]</f>
        <v>-355.9646451073483</v>
      </c>
      <c r="BI267" s="13">
        <f>FAR[[#This Row],[Depreciation YTD]]/12</f>
        <v>-29.663720425612357</v>
      </c>
      <c r="BJ267" s="13"/>
      <c r="BK267" s="13" t="s">
        <v>116</v>
      </c>
      <c r="BL267" s="13">
        <v>0</v>
      </c>
      <c r="BM267" s="13">
        <f>FAR[[#This Row],[Accumulated depreciation (Opening balance)]]+FAR[[#This Row],[Depreciation YTD]]+FAR[[#This Row],[Derecognitions (acc dep) '[+']]]</f>
        <v>-8517.0742631908979</v>
      </c>
      <c r="BN267" s="13"/>
      <c r="BO267" s="13"/>
      <c r="BP267" s="13"/>
      <c r="BQ267" s="13"/>
      <c r="BR26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67" s="13">
        <f>FAR[[#This Row],[Cost Price (closing balance)]]+FAR[[#This Row],[Accumulated depreciation (Closing balance)]]+FAR[[#This Row],[Accumulated impairments (Closing balance)]]</f>
        <v>2.9257368091020908</v>
      </c>
      <c r="BT267" s="13"/>
      <c r="BU267" s="13"/>
      <c r="BV267" s="13"/>
      <c r="BW267" s="10" t="s">
        <v>167</v>
      </c>
      <c r="BX267" s="9" t="s">
        <v>168</v>
      </c>
      <c r="BY267" s="10"/>
      <c r="BZ267" t="s">
        <v>945</v>
      </c>
      <c r="CA267"/>
      <c r="CB267" s="34"/>
      <c r="CC267" s="34"/>
      <c r="CD267" s="34"/>
      <c r="CE267" s="141"/>
    </row>
    <row r="268" spans="1:83">
      <c r="A268" s="35">
        <v>1124</v>
      </c>
      <c r="B268" s="9" t="s">
        <v>875</v>
      </c>
      <c r="C268" s="9" t="s">
        <v>54</v>
      </c>
      <c r="D268" s="10" t="s">
        <v>1</v>
      </c>
      <c r="E268" s="9" t="s">
        <v>115</v>
      </c>
      <c r="F268" s="36" t="s">
        <v>99</v>
      </c>
      <c r="G268" s="9" t="s">
        <v>100</v>
      </c>
      <c r="H268" s="3" t="s">
        <v>128</v>
      </c>
      <c r="I268" s="9" t="s">
        <v>100</v>
      </c>
      <c r="J268" s="36" t="s">
        <v>101</v>
      </c>
      <c r="K268" s="10" t="s">
        <v>559</v>
      </c>
      <c r="L268" s="10" t="s">
        <v>559</v>
      </c>
      <c r="M268" s="9" t="s">
        <v>100</v>
      </c>
      <c r="N268" s="10" t="s">
        <v>549</v>
      </c>
      <c r="O268" s="9" t="s">
        <v>100</v>
      </c>
      <c r="P268" s="10"/>
      <c r="Q268" s="10" t="s">
        <v>549</v>
      </c>
      <c r="R268" s="10" t="s">
        <v>119</v>
      </c>
      <c r="S268" s="10" t="s">
        <v>130</v>
      </c>
      <c r="T268" s="10" t="s">
        <v>120</v>
      </c>
      <c r="U268" s="10" t="s">
        <v>101</v>
      </c>
      <c r="V268" s="10" t="s">
        <v>121</v>
      </c>
      <c r="W268" s="10" t="s">
        <v>122</v>
      </c>
      <c r="X268" s="10" t="s">
        <v>123</v>
      </c>
      <c r="Y268" s="29">
        <v>1</v>
      </c>
      <c r="Z268" s="138" t="s">
        <v>596</v>
      </c>
      <c r="AA268" s="138">
        <v>43285</v>
      </c>
      <c r="AB268" s="9" t="s">
        <v>114</v>
      </c>
      <c r="AC268" s="9" t="s">
        <v>124</v>
      </c>
      <c r="AD268" s="15">
        <v>44651</v>
      </c>
      <c r="AE268" s="39" t="s">
        <v>125</v>
      </c>
      <c r="AF268" s="177">
        <v>6</v>
      </c>
      <c r="AG268" s="140">
        <v>0</v>
      </c>
      <c r="AH268" s="9">
        <v>0</v>
      </c>
      <c r="AI268" s="10" t="s">
        <v>126</v>
      </c>
      <c r="AJ268" s="10"/>
      <c r="AK268" s="29"/>
      <c r="AL268" s="12">
        <v>1.0082191780821916</v>
      </c>
      <c r="AM268" s="10"/>
      <c r="AN268" s="12">
        <f>FAR[[#This Row],[Opening RUL]]+FAR[[#This Row],[RUL Adjustment]]</f>
        <v>1.0082191780821916</v>
      </c>
      <c r="AO268" s="12">
        <f>FAR[[#This Row],[Opening RUL 30 June 2026]]-1</f>
        <v>8.219178082191636E-3</v>
      </c>
      <c r="AP268" s="12" t="s">
        <v>1050</v>
      </c>
      <c r="AQ268" s="139"/>
      <c r="AR268" s="10" t="s">
        <v>127</v>
      </c>
      <c r="AS268" s="13">
        <v>8520</v>
      </c>
      <c r="AT268" s="13"/>
      <c r="AU268" s="13">
        <v>0</v>
      </c>
      <c r="AV268" s="13">
        <v>0</v>
      </c>
      <c r="AW268" s="13">
        <v>0</v>
      </c>
      <c r="AX268" s="13">
        <v>8520</v>
      </c>
      <c r="AY268" s="13">
        <v>358.89038191644977</v>
      </c>
      <c r="AZ268" s="13">
        <v>0</v>
      </c>
      <c r="BA268" s="13"/>
      <c r="BB268" s="13"/>
      <c r="BC268" s="13">
        <v>-8161.1096180835502</v>
      </c>
      <c r="BD268" s="13"/>
      <c r="BE268" s="13" t="s">
        <v>114</v>
      </c>
      <c r="BF268" s="29"/>
      <c r="BG268" s="13"/>
      <c r="BH268" s="13">
        <f>-FAR[[#This Row],[Carrying value (opening balance)]]/FAR[[#This Row],[Opening RUL 30 June 2026]]</f>
        <v>-355.9646451073483</v>
      </c>
      <c r="BI268" s="13">
        <f>FAR[[#This Row],[Depreciation YTD]]/12</f>
        <v>-29.663720425612357</v>
      </c>
      <c r="BJ268" s="13"/>
      <c r="BK268" s="13" t="s">
        <v>116</v>
      </c>
      <c r="BL268" s="13">
        <v>0</v>
      </c>
      <c r="BM268" s="13">
        <f>FAR[[#This Row],[Accumulated depreciation (Opening balance)]]+FAR[[#This Row],[Depreciation YTD]]+FAR[[#This Row],[Derecognitions (acc dep) '[+']]]</f>
        <v>-8517.0742631908979</v>
      </c>
      <c r="BN268" s="13"/>
      <c r="BO268" s="13"/>
      <c r="BP268" s="13"/>
      <c r="BQ268" s="13"/>
      <c r="BR26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68" s="13">
        <f>FAR[[#This Row],[Cost Price (closing balance)]]+FAR[[#This Row],[Accumulated depreciation (Closing balance)]]+FAR[[#This Row],[Accumulated impairments (Closing balance)]]</f>
        <v>2.9257368091020908</v>
      </c>
      <c r="BT268" s="13"/>
      <c r="BU268" s="13"/>
      <c r="BV268" s="13"/>
      <c r="BW268" s="10" t="s">
        <v>167</v>
      </c>
      <c r="BX268" s="9" t="s">
        <v>168</v>
      </c>
      <c r="BY268" s="10"/>
      <c r="BZ268" t="s">
        <v>1017</v>
      </c>
      <c r="CA268"/>
      <c r="CB268" s="34"/>
      <c r="CC268" s="34"/>
      <c r="CD268" s="34"/>
      <c r="CE268" s="141"/>
    </row>
    <row r="269" spans="1:83">
      <c r="A269" s="35">
        <v>1203</v>
      </c>
      <c r="B269" s="9" t="s">
        <v>856</v>
      </c>
      <c r="C269" s="9" t="s">
        <v>54</v>
      </c>
      <c r="D269" s="10" t="s">
        <v>1</v>
      </c>
      <c r="E269" s="9" t="s">
        <v>115</v>
      </c>
      <c r="F269" s="36" t="s">
        <v>99</v>
      </c>
      <c r="G269" s="9" t="s">
        <v>100</v>
      </c>
      <c r="H269" s="3" t="s">
        <v>128</v>
      </c>
      <c r="I269" s="9" t="s">
        <v>100</v>
      </c>
      <c r="J269" s="36" t="s">
        <v>101</v>
      </c>
      <c r="K269" s="10" t="s">
        <v>559</v>
      </c>
      <c r="L269" s="10" t="s">
        <v>559</v>
      </c>
      <c r="M269" s="9" t="s">
        <v>100</v>
      </c>
      <c r="N269" s="10" t="s">
        <v>550</v>
      </c>
      <c r="O269" s="9" t="s">
        <v>100</v>
      </c>
      <c r="P269" s="10"/>
      <c r="Q269" s="10" t="s">
        <v>550</v>
      </c>
      <c r="R269" s="10" t="s">
        <v>119</v>
      </c>
      <c r="S269" s="10" t="s">
        <v>130</v>
      </c>
      <c r="T269" s="10" t="s">
        <v>120</v>
      </c>
      <c r="U269" s="10" t="s">
        <v>101</v>
      </c>
      <c r="V269" s="10" t="s">
        <v>121</v>
      </c>
      <c r="W269" s="10" t="s">
        <v>122</v>
      </c>
      <c r="X269" s="10" t="s">
        <v>123</v>
      </c>
      <c r="Y269" s="29">
        <v>1</v>
      </c>
      <c r="Z269" s="138" t="s">
        <v>596</v>
      </c>
      <c r="AA269" s="138">
        <v>43285</v>
      </c>
      <c r="AB269" s="9" t="s">
        <v>114</v>
      </c>
      <c r="AC269" s="9" t="s">
        <v>124</v>
      </c>
      <c r="AD269" s="15">
        <v>44651</v>
      </c>
      <c r="AE269" s="39" t="s">
        <v>125</v>
      </c>
      <c r="AF269" s="177">
        <v>6</v>
      </c>
      <c r="AG269" s="140">
        <v>0</v>
      </c>
      <c r="AH269" s="9">
        <v>0</v>
      </c>
      <c r="AI269" s="10" t="s">
        <v>126</v>
      </c>
      <c r="AJ269" s="10"/>
      <c r="AK269" s="29"/>
      <c r="AL269" s="12">
        <v>1.0082191780821916</v>
      </c>
      <c r="AM269" s="10"/>
      <c r="AN269" s="12">
        <f>FAR[[#This Row],[Opening RUL]]+FAR[[#This Row],[RUL Adjustment]]</f>
        <v>1.0082191780821916</v>
      </c>
      <c r="AO269" s="12">
        <f>FAR[[#This Row],[Opening RUL 30 June 2026]]-1</f>
        <v>8.219178082191636E-3</v>
      </c>
      <c r="AP269" s="12" t="s">
        <v>1051</v>
      </c>
      <c r="AQ269" s="139"/>
      <c r="AR269" s="10" t="s">
        <v>127</v>
      </c>
      <c r="AS269" s="13">
        <v>3000</v>
      </c>
      <c r="AT269" s="13"/>
      <c r="AU269" s="13">
        <v>0</v>
      </c>
      <c r="AV269" s="13">
        <v>0</v>
      </c>
      <c r="AW269" s="13">
        <v>0</v>
      </c>
      <c r="AX269" s="13">
        <v>3000</v>
      </c>
      <c r="AY269" s="13">
        <v>126.36985278748261</v>
      </c>
      <c r="AZ269" s="13">
        <v>0</v>
      </c>
      <c r="BA269" s="13"/>
      <c r="BB269" s="13"/>
      <c r="BC269" s="13">
        <v>-2873.6301472125174</v>
      </c>
      <c r="BD269" s="13"/>
      <c r="BE269" s="13" t="s">
        <v>114</v>
      </c>
      <c r="BF269" s="29"/>
      <c r="BG269" s="13"/>
      <c r="BH269" s="13">
        <f>-FAR[[#This Row],[Carrying value (opening balance)]]/FAR[[#This Row],[Opening RUL 30 June 2026]]</f>
        <v>-125.33966377019337</v>
      </c>
      <c r="BI269" s="13">
        <f>FAR[[#This Row],[Depreciation YTD]]/12</f>
        <v>-10.444971980849447</v>
      </c>
      <c r="BJ269" s="13"/>
      <c r="BK269" s="13" t="s">
        <v>116</v>
      </c>
      <c r="BL269" s="13">
        <v>0</v>
      </c>
      <c r="BM269" s="13">
        <f>FAR[[#This Row],[Accumulated depreciation (Opening balance)]]+FAR[[#This Row],[Depreciation YTD]]+FAR[[#This Row],[Derecognitions (acc dep) '[+']]]</f>
        <v>-2998.9698109827109</v>
      </c>
      <c r="BN269" s="13"/>
      <c r="BO269" s="13"/>
      <c r="BP269" s="13"/>
      <c r="BQ269" s="13"/>
      <c r="BR26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69" s="13">
        <f>FAR[[#This Row],[Cost Price (closing balance)]]+FAR[[#This Row],[Accumulated depreciation (Closing balance)]]+FAR[[#This Row],[Accumulated impairments (Closing balance)]]</f>
        <v>1.0301890172891035</v>
      </c>
      <c r="BT269" s="13"/>
      <c r="BU269" s="13"/>
      <c r="BV269" s="13"/>
      <c r="BW269" s="10" t="s">
        <v>167</v>
      </c>
      <c r="BX269" s="9" t="s">
        <v>168</v>
      </c>
      <c r="BY269" s="10"/>
      <c r="BZ269" t="s">
        <v>940</v>
      </c>
      <c r="CA269"/>
      <c r="CB269" s="34"/>
      <c r="CC269" s="34"/>
      <c r="CD269" s="34"/>
      <c r="CE269" s="141"/>
    </row>
    <row r="270" spans="1:83">
      <c r="A270" s="35">
        <v>1204</v>
      </c>
      <c r="B270" s="9" t="s">
        <v>854</v>
      </c>
      <c r="C270" s="9" t="s">
        <v>54</v>
      </c>
      <c r="D270" s="10" t="s">
        <v>1</v>
      </c>
      <c r="E270" s="9" t="s">
        <v>115</v>
      </c>
      <c r="F270" s="36" t="s">
        <v>99</v>
      </c>
      <c r="G270" s="9" t="s">
        <v>100</v>
      </c>
      <c r="H270" s="3" t="s">
        <v>128</v>
      </c>
      <c r="I270" s="9" t="s">
        <v>100</v>
      </c>
      <c r="J270" s="36" t="s">
        <v>101</v>
      </c>
      <c r="K270" s="10" t="s">
        <v>559</v>
      </c>
      <c r="L270" s="10" t="s">
        <v>559</v>
      </c>
      <c r="M270" s="9" t="s">
        <v>100</v>
      </c>
      <c r="N270" s="10" t="s">
        <v>550</v>
      </c>
      <c r="O270" s="9" t="s">
        <v>100</v>
      </c>
      <c r="P270" s="10"/>
      <c r="Q270" s="10" t="s">
        <v>550</v>
      </c>
      <c r="R270" s="10" t="s">
        <v>119</v>
      </c>
      <c r="S270" s="10" t="s">
        <v>130</v>
      </c>
      <c r="T270" s="10" t="s">
        <v>120</v>
      </c>
      <c r="U270" s="10" t="s">
        <v>101</v>
      </c>
      <c r="V270" s="10" t="s">
        <v>121</v>
      </c>
      <c r="W270" s="10" t="s">
        <v>122</v>
      </c>
      <c r="X270" s="10" t="s">
        <v>123</v>
      </c>
      <c r="Y270" s="29">
        <v>1</v>
      </c>
      <c r="Z270" s="138" t="s">
        <v>596</v>
      </c>
      <c r="AA270" s="138">
        <v>43285</v>
      </c>
      <c r="AB270" s="9" t="s">
        <v>114</v>
      </c>
      <c r="AC270" s="9" t="s">
        <v>124</v>
      </c>
      <c r="AD270" s="15">
        <v>44651</v>
      </c>
      <c r="AE270" s="39" t="s">
        <v>125</v>
      </c>
      <c r="AF270" s="177">
        <v>6</v>
      </c>
      <c r="AG270" s="140">
        <v>0</v>
      </c>
      <c r="AH270" s="9">
        <v>0</v>
      </c>
      <c r="AI270" s="10" t="s">
        <v>126</v>
      </c>
      <c r="AJ270" s="10"/>
      <c r="AK270" s="29"/>
      <c r="AL270" s="12">
        <v>1.0082191780821916</v>
      </c>
      <c r="AM270" s="10"/>
      <c r="AN270" s="12">
        <f>FAR[[#This Row],[Opening RUL]]+FAR[[#This Row],[RUL Adjustment]]</f>
        <v>1.0082191780821916</v>
      </c>
      <c r="AO270" s="12">
        <f>FAR[[#This Row],[Opening RUL 30 June 2026]]-1</f>
        <v>8.219178082191636E-3</v>
      </c>
      <c r="AP270" s="12" t="s">
        <v>1050</v>
      </c>
      <c r="AQ270" s="139"/>
      <c r="AR270" s="10" t="s">
        <v>127</v>
      </c>
      <c r="AS270" s="13">
        <v>3000</v>
      </c>
      <c r="AT270" s="13"/>
      <c r="AU270" s="13">
        <v>0</v>
      </c>
      <c r="AV270" s="13">
        <v>0</v>
      </c>
      <c r="AW270" s="13">
        <v>0</v>
      </c>
      <c r="AX270" s="13">
        <v>3000</v>
      </c>
      <c r="AY270" s="13">
        <v>126.36985278748261</v>
      </c>
      <c r="AZ270" s="13">
        <v>0</v>
      </c>
      <c r="BA270" s="13"/>
      <c r="BB270" s="13"/>
      <c r="BC270" s="13">
        <v>-2873.6301472125174</v>
      </c>
      <c r="BD270" s="13"/>
      <c r="BE270" s="13" t="s">
        <v>114</v>
      </c>
      <c r="BF270" s="29"/>
      <c r="BG270" s="13"/>
      <c r="BH270" s="13">
        <f>-FAR[[#This Row],[Carrying value (opening balance)]]/FAR[[#This Row],[Opening RUL 30 June 2026]]</f>
        <v>-125.33966377019337</v>
      </c>
      <c r="BI270" s="13">
        <f>FAR[[#This Row],[Depreciation YTD]]/12</f>
        <v>-10.444971980849447</v>
      </c>
      <c r="BJ270" s="13"/>
      <c r="BK270" s="13" t="s">
        <v>116</v>
      </c>
      <c r="BL270" s="13">
        <v>0</v>
      </c>
      <c r="BM270" s="13">
        <f>FAR[[#This Row],[Accumulated depreciation (Opening balance)]]+FAR[[#This Row],[Depreciation YTD]]+FAR[[#This Row],[Derecognitions (acc dep) '[+']]]</f>
        <v>-2998.9698109827109</v>
      </c>
      <c r="BN270" s="13"/>
      <c r="BO270" s="13"/>
      <c r="BP270" s="13"/>
      <c r="BQ270" s="13"/>
      <c r="BR27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70" s="13">
        <f>FAR[[#This Row],[Cost Price (closing balance)]]+FAR[[#This Row],[Accumulated depreciation (Closing balance)]]+FAR[[#This Row],[Accumulated impairments (Closing balance)]]</f>
        <v>1.0301890172891035</v>
      </c>
      <c r="BT270" s="13"/>
      <c r="BU270" s="13"/>
      <c r="BV270" s="13"/>
      <c r="BW270" s="10" t="s">
        <v>167</v>
      </c>
      <c r="BX270" s="9" t="s">
        <v>168</v>
      </c>
      <c r="BY270" s="10"/>
      <c r="BZ270" t="s">
        <v>940</v>
      </c>
      <c r="CA270"/>
      <c r="CB270" s="34"/>
      <c r="CC270" s="34"/>
      <c r="CD270" s="34"/>
      <c r="CE270" s="141"/>
    </row>
    <row r="271" spans="1:83">
      <c r="A271" s="35">
        <v>1219</v>
      </c>
      <c r="B271" s="9" t="s">
        <v>868</v>
      </c>
      <c r="C271" s="9" t="s">
        <v>54</v>
      </c>
      <c r="D271" s="10" t="s">
        <v>1</v>
      </c>
      <c r="E271" s="9" t="s">
        <v>115</v>
      </c>
      <c r="F271" s="36" t="s">
        <v>99</v>
      </c>
      <c r="G271" s="9" t="s">
        <v>100</v>
      </c>
      <c r="H271" s="3" t="s">
        <v>128</v>
      </c>
      <c r="I271" s="9" t="s">
        <v>100</v>
      </c>
      <c r="J271" s="36" t="s">
        <v>101</v>
      </c>
      <c r="K271" s="10" t="s">
        <v>559</v>
      </c>
      <c r="L271" s="10" t="s">
        <v>559</v>
      </c>
      <c r="M271" s="9" t="s">
        <v>100</v>
      </c>
      <c r="N271" s="10" t="s">
        <v>551</v>
      </c>
      <c r="O271" s="9" t="s">
        <v>100</v>
      </c>
      <c r="P271" s="10"/>
      <c r="Q271" s="10" t="s">
        <v>551</v>
      </c>
      <c r="R271" s="10" t="s">
        <v>119</v>
      </c>
      <c r="S271" s="10" t="s">
        <v>130</v>
      </c>
      <c r="T271" s="10" t="s">
        <v>120</v>
      </c>
      <c r="U271" s="10" t="s">
        <v>101</v>
      </c>
      <c r="V271" s="10" t="s">
        <v>121</v>
      </c>
      <c r="W271" s="10" t="s">
        <v>122</v>
      </c>
      <c r="X271" s="10" t="s">
        <v>123</v>
      </c>
      <c r="Y271" s="29">
        <v>1</v>
      </c>
      <c r="Z271" s="138" t="s">
        <v>596</v>
      </c>
      <c r="AA271" s="138">
        <v>43285</v>
      </c>
      <c r="AB271" s="9" t="s">
        <v>114</v>
      </c>
      <c r="AC271" s="9" t="s">
        <v>124</v>
      </c>
      <c r="AD271" s="15">
        <v>44651</v>
      </c>
      <c r="AE271" s="39" t="s">
        <v>125</v>
      </c>
      <c r="AF271" s="177">
        <v>6</v>
      </c>
      <c r="AG271" s="140">
        <v>0</v>
      </c>
      <c r="AH271" s="9">
        <v>0</v>
      </c>
      <c r="AI271" s="10" t="s">
        <v>126</v>
      </c>
      <c r="AJ271" s="10"/>
      <c r="AK271" s="29"/>
      <c r="AL271" s="12">
        <v>1.0082191780821916</v>
      </c>
      <c r="AM271" s="10"/>
      <c r="AN271" s="12">
        <f>FAR[[#This Row],[Opening RUL]]+FAR[[#This Row],[RUL Adjustment]]</f>
        <v>1.0082191780821916</v>
      </c>
      <c r="AO271" s="12">
        <f>FAR[[#This Row],[Opening RUL 30 June 2026]]-1</f>
        <v>8.219178082191636E-3</v>
      </c>
      <c r="AP271" s="12" t="s">
        <v>1050</v>
      </c>
      <c r="AQ271" s="139"/>
      <c r="AR271" s="10" t="s">
        <v>127</v>
      </c>
      <c r="AS271" s="13">
        <v>5400</v>
      </c>
      <c r="AT271" s="13"/>
      <c r="AU271" s="13">
        <v>0</v>
      </c>
      <c r="AV271" s="13">
        <v>0</v>
      </c>
      <c r="AW271" s="13">
        <v>0</v>
      </c>
      <c r="AX271" s="13">
        <v>5400</v>
      </c>
      <c r="AY271" s="13">
        <v>227.46573501746843</v>
      </c>
      <c r="AZ271" s="13">
        <v>0</v>
      </c>
      <c r="BA271" s="13"/>
      <c r="BB271" s="13"/>
      <c r="BC271" s="13">
        <v>-5172.5342649825316</v>
      </c>
      <c r="BD271" s="13"/>
      <c r="BE271" s="13" t="s">
        <v>114</v>
      </c>
      <c r="BF271" s="29"/>
      <c r="BG271" s="13"/>
      <c r="BH271" s="13">
        <f>-FAR[[#This Row],[Carrying value (opening balance)]]/FAR[[#This Row],[Opening RUL 30 June 2026]]</f>
        <v>-225.6113947863478</v>
      </c>
      <c r="BI271" s="13">
        <f>FAR[[#This Row],[Depreciation YTD]]/12</f>
        <v>-18.800949565528985</v>
      </c>
      <c r="BJ271" s="13"/>
      <c r="BK271" s="13" t="s">
        <v>116</v>
      </c>
      <c r="BL271" s="13">
        <v>0</v>
      </c>
      <c r="BM271" s="13">
        <f>FAR[[#This Row],[Accumulated depreciation (Opening balance)]]+FAR[[#This Row],[Depreciation YTD]]+FAR[[#This Row],[Derecognitions (acc dep) '[+']]]</f>
        <v>-5398.1456597688793</v>
      </c>
      <c r="BN271" s="13"/>
      <c r="BO271" s="13"/>
      <c r="BP271" s="13"/>
      <c r="BQ271" s="13"/>
      <c r="BR27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71" s="13">
        <f>FAR[[#This Row],[Cost Price (closing balance)]]+FAR[[#This Row],[Accumulated depreciation (Closing balance)]]+FAR[[#This Row],[Accumulated impairments (Closing balance)]]</f>
        <v>1.8543402311206592</v>
      </c>
      <c r="BT271" s="13"/>
      <c r="BU271" s="13"/>
      <c r="BV271" s="13"/>
      <c r="BW271" s="10" t="s">
        <v>167</v>
      </c>
      <c r="BX271" s="9" t="s">
        <v>168</v>
      </c>
      <c r="BY271" s="10"/>
      <c r="BZ271" t="s">
        <v>961</v>
      </c>
      <c r="CA271"/>
      <c r="CB271" s="34"/>
      <c r="CC271" s="34"/>
      <c r="CD271" s="34"/>
      <c r="CE271" s="141"/>
    </row>
    <row r="272" spans="1:83">
      <c r="A272" s="35">
        <v>1125</v>
      </c>
      <c r="B272" s="9" t="s">
        <v>886</v>
      </c>
      <c r="C272" s="9" t="s">
        <v>54</v>
      </c>
      <c r="D272" s="10" t="s">
        <v>1</v>
      </c>
      <c r="E272" s="9" t="s">
        <v>115</v>
      </c>
      <c r="F272" s="36" t="s">
        <v>99</v>
      </c>
      <c r="G272" s="9" t="s">
        <v>100</v>
      </c>
      <c r="H272" s="3" t="s">
        <v>128</v>
      </c>
      <c r="I272" s="9" t="s">
        <v>100</v>
      </c>
      <c r="J272" s="36" t="s">
        <v>101</v>
      </c>
      <c r="K272" s="10" t="s">
        <v>559</v>
      </c>
      <c r="L272" s="10" t="s">
        <v>559</v>
      </c>
      <c r="M272" s="9" t="s">
        <v>100</v>
      </c>
      <c r="N272" s="10" t="s">
        <v>549</v>
      </c>
      <c r="O272" s="9" t="s">
        <v>100</v>
      </c>
      <c r="P272" s="10"/>
      <c r="Q272" s="10" t="s">
        <v>549</v>
      </c>
      <c r="R272" s="10" t="s">
        <v>119</v>
      </c>
      <c r="S272" s="10" t="s">
        <v>130</v>
      </c>
      <c r="T272" s="10" t="s">
        <v>120</v>
      </c>
      <c r="U272" s="10" t="s">
        <v>101</v>
      </c>
      <c r="V272" s="10" t="s">
        <v>121</v>
      </c>
      <c r="W272" s="10" t="s">
        <v>122</v>
      </c>
      <c r="X272" s="10" t="s">
        <v>123</v>
      </c>
      <c r="Y272" s="29">
        <v>1</v>
      </c>
      <c r="Z272" s="138" t="s">
        <v>596</v>
      </c>
      <c r="AA272" s="138">
        <v>43285</v>
      </c>
      <c r="AB272" s="9" t="s">
        <v>114</v>
      </c>
      <c r="AC272" s="9" t="s">
        <v>124</v>
      </c>
      <c r="AD272" s="15">
        <v>44651</v>
      </c>
      <c r="AE272" s="39" t="s">
        <v>125</v>
      </c>
      <c r="AF272" s="177">
        <v>6</v>
      </c>
      <c r="AG272" s="140">
        <v>0</v>
      </c>
      <c r="AH272" s="9">
        <v>0</v>
      </c>
      <c r="AI272" s="10" t="s">
        <v>126</v>
      </c>
      <c r="AJ272" s="10"/>
      <c r="AK272" s="29"/>
      <c r="AL272" s="12">
        <v>1.0082191780821916</v>
      </c>
      <c r="AM272" s="10"/>
      <c r="AN272" s="12">
        <f>FAR[[#This Row],[Opening RUL]]+FAR[[#This Row],[RUL Adjustment]]</f>
        <v>1.0082191780821916</v>
      </c>
      <c r="AO272" s="12">
        <f>FAR[[#This Row],[Opening RUL 30 June 2026]]-1</f>
        <v>8.219178082191636E-3</v>
      </c>
      <c r="AP272" s="12" t="s">
        <v>1050</v>
      </c>
      <c r="AQ272" s="139"/>
      <c r="AR272" s="10" t="s">
        <v>127</v>
      </c>
      <c r="AS272" s="13">
        <v>8520</v>
      </c>
      <c r="AT272" s="13"/>
      <c r="AU272" s="13">
        <v>0</v>
      </c>
      <c r="AV272" s="13">
        <v>0</v>
      </c>
      <c r="AW272" s="13">
        <v>0</v>
      </c>
      <c r="AX272" s="13">
        <v>8520</v>
      </c>
      <c r="AY272" s="13">
        <v>358.89038191644977</v>
      </c>
      <c r="AZ272" s="13">
        <v>0</v>
      </c>
      <c r="BA272" s="13"/>
      <c r="BB272" s="13"/>
      <c r="BC272" s="13">
        <v>-8161.1096180835502</v>
      </c>
      <c r="BD272" s="13"/>
      <c r="BE272" s="13" t="s">
        <v>114</v>
      </c>
      <c r="BF272" s="29"/>
      <c r="BG272" s="13"/>
      <c r="BH272" s="13">
        <f>-FAR[[#This Row],[Carrying value (opening balance)]]/FAR[[#This Row],[Opening RUL 30 June 2026]]</f>
        <v>-355.9646451073483</v>
      </c>
      <c r="BI272" s="13">
        <f>FAR[[#This Row],[Depreciation YTD]]/12</f>
        <v>-29.663720425612357</v>
      </c>
      <c r="BJ272" s="13"/>
      <c r="BK272" s="13" t="s">
        <v>116</v>
      </c>
      <c r="BL272" s="13">
        <v>0</v>
      </c>
      <c r="BM272" s="13">
        <f>FAR[[#This Row],[Accumulated depreciation (Opening balance)]]+FAR[[#This Row],[Depreciation YTD]]+FAR[[#This Row],[Derecognitions (acc dep) '[+']]]</f>
        <v>-8517.0742631908979</v>
      </c>
      <c r="BN272" s="13"/>
      <c r="BO272" s="13"/>
      <c r="BP272" s="13"/>
      <c r="BQ272" s="13"/>
      <c r="BR27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72" s="13">
        <f>FAR[[#This Row],[Cost Price (closing balance)]]+FAR[[#This Row],[Accumulated depreciation (Closing balance)]]+FAR[[#This Row],[Accumulated impairments (Closing balance)]]</f>
        <v>2.9257368091020908</v>
      </c>
      <c r="BT272" s="13"/>
      <c r="BU272" s="13"/>
      <c r="BV272" s="13"/>
      <c r="BW272" s="10" t="s">
        <v>167</v>
      </c>
      <c r="BX272" s="9" t="s">
        <v>168</v>
      </c>
      <c r="BY272" s="10"/>
      <c r="BZ272" t="s">
        <v>998</v>
      </c>
      <c r="CA272"/>
      <c r="CB272" s="34"/>
      <c r="CC272" s="34"/>
      <c r="CD272" s="34"/>
      <c r="CE272" s="141"/>
    </row>
    <row r="273" spans="1:83">
      <c r="A273" s="35">
        <v>1126</v>
      </c>
      <c r="B273" s="9" t="s">
        <v>851</v>
      </c>
      <c r="C273" s="9" t="s">
        <v>54</v>
      </c>
      <c r="D273" s="10" t="s">
        <v>1</v>
      </c>
      <c r="E273" s="9" t="s">
        <v>115</v>
      </c>
      <c r="F273" s="36" t="s">
        <v>99</v>
      </c>
      <c r="G273" s="9" t="s">
        <v>100</v>
      </c>
      <c r="H273" s="3" t="s">
        <v>128</v>
      </c>
      <c r="I273" s="9" t="s">
        <v>100</v>
      </c>
      <c r="J273" s="36" t="s">
        <v>101</v>
      </c>
      <c r="K273" s="10" t="s">
        <v>559</v>
      </c>
      <c r="L273" s="10" t="s">
        <v>559</v>
      </c>
      <c r="M273" s="9" t="s">
        <v>100</v>
      </c>
      <c r="N273" s="10" t="s">
        <v>549</v>
      </c>
      <c r="O273" s="9" t="s">
        <v>100</v>
      </c>
      <c r="P273" s="10"/>
      <c r="Q273" s="10" t="s">
        <v>549</v>
      </c>
      <c r="R273" s="10" t="s">
        <v>119</v>
      </c>
      <c r="S273" s="10" t="s">
        <v>130</v>
      </c>
      <c r="T273" s="10" t="s">
        <v>120</v>
      </c>
      <c r="U273" s="10" t="s">
        <v>101</v>
      </c>
      <c r="V273" s="10" t="s">
        <v>121</v>
      </c>
      <c r="W273" s="10" t="s">
        <v>122</v>
      </c>
      <c r="X273" s="10" t="s">
        <v>123</v>
      </c>
      <c r="Y273" s="29">
        <v>1</v>
      </c>
      <c r="Z273" s="138" t="s">
        <v>596</v>
      </c>
      <c r="AA273" s="138">
        <v>43285</v>
      </c>
      <c r="AB273" s="9" t="s">
        <v>114</v>
      </c>
      <c r="AC273" s="9" t="s">
        <v>124</v>
      </c>
      <c r="AD273" s="15">
        <v>44651</v>
      </c>
      <c r="AE273" s="39" t="s">
        <v>125</v>
      </c>
      <c r="AF273" s="177">
        <v>6</v>
      </c>
      <c r="AG273" s="140">
        <v>0</v>
      </c>
      <c r="AH273" s="9">
        <v>0</v>
      </c>
      <c r="AI273" s="10" t="s">
        <v>126</v>
      </c>
      <c r="AJ273" s="10"/>
      <c r="AK273" s="29"/>
      <c r="AL273" s="12">
        <v>1.0082191780821916</v>
      </c>
      <c r="AM273" s="10"/>
      <c r="AN273" s="12">
        <f>FAR[[#This Row],[Opening RUL]]+FAR[[#This Row],[RUL Adjustment]]</f>
        <v>1.0082191780821916</v>
      </c>
      <c r="AO273" s="12">
        <f>FAR[[#This Row],[Opening RUL 30 June 2026]]-1</f>
        <v>8.219178082191636E-3</v>
      </c>
      <c r="AP273" s="12" t="s">
        <v>1050</v>
      </c>
      <c r="AQ273" s="139"/>
      <c r="AR273" s="10" t="s">
        <v>127</v>
      </c>
      <c r="AS273" s="13">
        <v>8520</v>
      </c>
      <c r="AT273" s="13"/>
      <c r="AU273" s="13">
        <v>0</v>
      </c>
      <c r="AV273" s="13">
        <v>0</v>
      </c>
      <c r="AW273" s="13">
        <v>0</v>
      </c>
      <c r="AX273" s="13">
        <v>8520</v>
      </c>
      <c r="AY273" s="13">
        <v>358.89038191644977</v>
      </c>
      <c r="AZ273" s="13">
        <v>0</v>
      </c>
      <c r="BA273" s="13"/>
      <c r="BB273" s="13"/>
      <c r="BC273" s="13">
        <v>-8161.1096180835502</v>
      </c>
      <c r="BD273" s="13"/>
      <c r="BE273" s="13" t="s">
        <v>114</v>
      </c>
      <c r="BF273" s="29"/>
      <c r="BG273" s="13"/>
      <c r="BH273" s="13">
        <f>-FAR[[#This Row],[Carrying value (opening balance)]]/FAR[[#This Row],[Opening RUL 30 June 2026]]</f>
        <v>-355.9646451073483</v>
      </c>
      <c r="BI273" s="13">
        <f>FAR[[#This Row],[Depreciation YTD]]/12</f>
        <v>-29.663720425612357</v>
      </c>
      <c r="BJ273" s="13"/>
      <c r="BK273" s="13" t="s">
        <v>116</v>
      </c>
      <c r="BL273" s="13">
        <v>0</v>
      </c>
      <c r="BM273" s="13">
        <f>FAR[[#This Row],[Accumulated depreciation (Opening balance)]]+FAR[[#This Row],[Depreciation YTD]]+FAR[[#This Row],[Derecognitions (acc dep) '[+']]]</f>
        <v>-8517.0742631908979</v>
      </c>
      <c r="BN273" s="13"/>
      <c r="BO273" s="13"/>
      <c r="BP273" s="13"/>
      <c r="BQ273" s="13"/>
      <c r="BR27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73" s="13">
        <f>FAR[[#This Row],[Cost Price (closing balance)]]+FAR[[#This Row],[Accumulated depreciation (Closing balance)]]+FAR[[#This Row],[Accumulated impairments (Closing balance)]]</f>
        <v>2.9257368091020908</v>
      </c>
      <c r="BT273" s="13"/>
      <c r="BU273" s="13"/>
      <c r="BV273" s="13"/>
      <c r="BW273" s="10" t="s">
        <v>167</v>
      </c>
      <c r="BX273" s="9" t="s">
        <v>168</v>
      </c>
      <c r="BY273" s="10"/>
      <c r="BZ273" t="s">
        <v>938</v>
      </c>
      <c r="CA273"/>
      <c r="CB273" s="34"/>
      <c r="CC273" s="34"/>
      <c r="CD273" s="34"/>
      <c r="CE273" s="141"/>
    </row>
    <row r="274" spans="1:83">
      <c r="A274" s="35">
        <v>1128</v>
      </c>
      <c r="B274" s="9" t="s">
        <v>868</v>
      </c>
      <c r="C274" s="9" t="s">
        <v>54</v>
      </c>
      <c r="D274" s="10" t="s">
        <v>1</v>
      </c>
      <c r="E274" s="9" t="s">
        <v>115</v>
      </c>
      <c r="F274" s="36" t="s">
        <v>99</v>
      </c>
      <c r="G274" s="9" t="s">
        <v>100</v>
      </c>
      <c r="H274" s="3" t="s">
        <v>128</v>
      </c>
      <c r="I274" s="9" t="s">
        <v>100</v>
      </c>
      <c r="J274" s="36" t="s">
        <v>101</v>
      </c>
      <c r="K274" s="10" t="s">
        <v>559</v>
      </c>
      <c r="L274" s="10" t="s">
        <v>559</v>
      </c>
      <c r="M274" s="9" t="s">
        <v>100</v>
      </c>
      <c r="N274" s="10" t="s">
        <v>549</v>
      </c>
      <c r="O274" s="9" t="s">
        <v>100</v>
      </c>
      <c r="P274" s="10"/>
      <c r="Q274" s="10" t="s">
        <v>549</v>
      </c>
      <c r="R274" s="10" t="s">
        <v>119</v>
      </c>
      <c r="S274" s="10" t="s">
        <v>130</v>
      </c>
      <c r="T274" s="10" t="s">
        <v>120</v>
      </c>
      <c r="U274" s="10" t="s">
        <v>101</v>
      </c>
      <c r="V274" s="10" t="s">
        <v>121</v>
      </c>
      <c r="W274" s="10" t="s">
        <v>122</v>
      </c>
      <c r="X274" s="10" t="s">
        <v>123</v>
      </c>
      <c r="Y274" s="29">
        <v>1</v>
      </c>
      <c r="Z274" s="138" t="s">
        <v>596</v>
      </c>
      <c r="AA274" s="138">
        <v>43285</v>
      </c>
      <c r="AB274" s="9" t="s">
        <v>114</v>
      </c>
      <c r="AC274" s="9" t="s">
        <v>124</v>
      </c>
      <c r="AD274" s="15">
        <v>44651</v>
      </c>
      <c r="AE274" s="39" t="s">
        <v>125</v>
      </c>
      <c r="AF274" s="177">
        <v>6</v>
      </c>
      <c r="AG274" s="140">
        <v>0</v>
      </c>
      <c r="AH274" s="9">
        <v>0</v>
      </c>
      <c r="AI274" s="10" t="s">
        <v>126</v>
      </c>
      <c r="AJ274" s="10"/>
      <c r="AK274" s="29"/>
      <c r="AL274" s="12">
        <v>1.0082191780821916</v>
      </c>
      <c r="AM274" s="10"/>
      <c r="AN274" s="12">
        <f>FAR[[#This Row],[Opening RUL]]+FAR[[#This Row],[RUL Adjustment]]</f>
        <v>1.0082191780821916</v>
      </c>
      <c r="AO274" s="12">
        <f>FAR[[#This Row],[Opening RUL 30 June 2026]]-1</f>
        <v>8.219178082191636E-3</v>
      </c>
      <c r="AP274" s="12" t="s">
        <v>1050</v>
      </c>
      <c r="AQ274" s="139"/>
      <c r="AR274" s="10" t="s">
        <v>127</v>
      </c>
      <c r="AS274" s="13">
        <v>8520</v>
      </c>
      <c r="AT274" s="13"/>
      <c r="AU274" s="13">
        <v>0</v>
      </c>
      <c r="AV274" s="13">
        <v>0</v>
      </c>
      <c r="AW274" s="13">
        <v>0</v>
      </c>
      <c r="AX274" s="13">
        <v>8520</v>
      </c>
      <c r="AY274" s="13">
        <v>358.89038191644977</v>
      </c>
      <c r="AZ274" s="13">
        <v>0</v>
      </c>
      <c r="BA274" s="13"/>
      <c r="BB274" s="13"/>
      <c r="BC274" s="13">
        <v>-8161.1096180835502</v>
      </c>
      <c r="BD274" s="13"/>
      <c r="BE274" s="13" t="s">
        <v>114</v>
      </c>
      <c r="BF274" s="29"/>
      <c r="BG274" s="13"/>
      <c r="BH274" s="13">
        <f>-FAR[[#This Row],[Carrying value (opening balance)]]/FAR[[#This Row],[Opening RUL 30 June 2026]]</f>
        <v>-355.9646451073483</v>
      </c>
      <c r="BI274" s="13">
        <f>FAR[[#This Row],[Depreciation YTD]]/12</f>
        <v>-29.663720425612357</v>
      </c>
      <c r="BJ274" s="13"/>
      <c r="BK274" s="13" t="s">
        <v>116</v>
      </c>
      <c r="BL274" s="13">
        <v>0</v>
      </c>
      <c r="BM274" s="13">
        <f>FAR[[#This Row],[Accumulated depreciation (Opening balance)]]+FAR[[#This Row],[Depreciation YTD]]+FAR[[#This Row],[Derecognitions (acc dep) '[+']]]</f>
        <v>-8517.0742631908979</v>
      </c>
      <c r="BN274" s="13"/>
      <c r="BO274" s="13"/>
      <c r="BP274" s="13"/>
      <c r="BQ274" s="13"/>
      <c r="BR27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74" s="13">
        <f>FAR[[#This Row],[Cost Price (closing balance)]]+FAR[[#This Row],[Accumulated depreciation (Closing balance)]]+FAR[[#This Row],[Accumulated impairments (Closing balance)]]</f>
        <v>2.9257368091020908</v>
      </c>
      <c r="BT274" s="13"/>
      <c r="BU274" s="13"/>
      <c r="BV274" s="13"/>
      <c r="BW274" s="10" t="s">
        <v>167</v>
      </c>
      <c r="BX274" s="9" t="s">
        <v>168</v>
      </c>
      <c r="BY274" s="10"/>
      <c r="BZ274" t="s">
        <v>938</v>
      </c>
      <c r="CA274"/>
      <c r="CB274" s="34"/>
      <c r="CC274" s="34"/>
      <c r="CD274" s="34"/>
      <c r="CE274" s="141"/>
    </row>
    <row r="275" spans="1:83">
      <c r="A275" s="35">
        <v>1129</v>
      </c>
      <c r="B275" s="9" t="s">
        <v>885</v>
      </c>
      <c r="C275" s="9" t="s">
        <v>54</v>
      </c>
      <c r="D275" s="10" t="s">
        <v>1</v>
      </c>
      <c r="E275" s="9" t="s">
        <v>115</v>
      </c>
      <c r="F275" s="36" t="s">
        <v>99</v>
      </c>
      <c r="G275" s="9" t="s">
        <v>100</v>
      </c>
      <c r="H275" s="3" t="s">
        <v>128</v>
      </c>
      <c r="I275" s="9" t="s">
        <v>100</v>
      </c>
      <c r="J275" s="36" t="s">
        <v>101</v>
      </c>
      <c r="K275" s="10" t="s">
        <v>559</v>
      </c>
      <c r="L275" s="10" t="s">
        <v>559</v>
      </c>
      <c r="M275" s="9" t="s">
        <v>100</v>
      </c>
      <c r="N275" s="10" t="s">
        <v>549</v>
      </c>
      <c r="O275" s="9" t="s">
        <v>100</v>
      </c>
      <c r="P275" s="10"/>
      <c r="Q275" s="10" t="s">
        <v>549</v>
      </c>
      <c r="R275" s="10" t="s">
        <v>119</v>
      </c>
      <c r="S275" s="10" t="s">
        <v>130</v>
      </c>
      <c r="T275" s="10" t="s">
        <v>120</v>
      </c>
      <c r="U275" s="10" t="s">
        <v>101</v>
      </c>
      <c r="V275" s="10" t="s">
        <v>121</v>
      </c>
      <c r="W275" s="10" t="s">
        <v>122</v>
      </c>
      <c r="X275" s="10" t="s">
        <v>123</v>
      </c>
      <c r="Y275" s="29">
        <v>1</v>
      </c>
      <c r="Z275" s="138" t="s">
        <v>596</v>
      </c>
      <c r="AA275" s="138">
        <v>43285</v>
      </c>
      <c r="AB275" s="9" t="s">
        <v>114</v>
      </c>
      <c r="AC275" s="9" t="s">
        <v>124</v>
      </c>
      <c r="AD275" s="15">
        <v>44651</v>
      </c>
      <c r="AE275" s="39" t="s">
        <v>125</v>
      </c>
      <c r="AF275" s="177">
        <v>6</v>
      </c>
      <c r="AG275" s="140">
        <v>0</v>
      </c>
      <c r="AH275" s="9">
        <v>0</v>
      </c>
      <c r="AI275" s="10" t="s">
        <v>126</v>
      </c>
      <c r="AJ275" s="10"/>
      <c r="AK275" s="29"/>
      <c r="AL275" s="12">
        <v>1.0082191780821916</v>
      </c>
      <c r="AM275" s="10"/>
      <c r="AN275" s="12">
        <f>FAR[[#This Row],[Opening RUL]]+FAR[[#This Row],[RUL Adjustment]]</f>
        <v>1.0082191780821916</v>
      </c>
      <c r="AO275" s="12">
        <f>FAR[[#This Row],[Opening RUL 30 June 2026]]-1</f>
        <v>8.219178082191636E-3</v>
      </c>
      <c r="AP275" s="12" t="s">
        <v>1050</v>
      </c>
      <c r="AQ275" s="139"/>
      <c r="AR275" s="10" t="s">
        <v>127</v>
      </c>
      <c r="AS275" s="13">
        <v>8520</v>
      </c>
      <c r="AT275" s="13"/>
      <c r="AU275" s="13">
        <v>0</v>
      </c>
      <c r="AV275" s="13">
        <v>0</v>
      </c>
      <c r="AW275" s="13">
        <v>0</v>
      </c>
      <c r="AX275" s="13">
        <v>8520</v>
      </c>
      <c r="AY275" s="13">
        <v>358.89038191644977</v>
      </c>
      <c r="AZ275" s="13">
        <v>0</v>
      </c>
      <c r="BA275" s="13"/>
      <c r="BB275" s="13"/>
      <c r="BC275" s="13">
        <v>-8161.1096180835502</v>
      </c>
      <c r="BD275" s="13"/>
      <c r="BE275" s="13" t="s">
        <v>114</v>
      </c>
      <c r="BF275" s="29"/>
      <c r="BG275" s="13"/>
      <c r="BH275" s="13">
        <f>-FAR[[#This Row],[Carrying value (opening balance)]]/FAR[[#This Row],[Opening RUL 30 June 2026]]</f>
        <v>-355.9646451073483</v>
      </c>
      <c r="BI275" s="13">
        <f>FAR[[#This Row],[Depreciation YTD]]/12</f>
        <v>-29.663720425612357</v>
      </c>
      <c r="BJ275" s="13"/>
      <c r="BK275" s="13" t="s">
        <v>116</v>
      </c>
      <c r="BL275" s="13">
        <v>0</v>
      </c>
      <c r="BM275" s="13">
        <f>FAR[[#This Row],[Accumulated depreciation (Opening balance)]]+FAR[[#This Row],[Depreciation YTD]]+FAR[[#This Row],[Derecognitions (acc dep) '[+']]]</f>
        <v>-8517.0742631908979</v>
      </c>
      <c r="BN275" s="13"/>
      <c r="BO275" s="13"/>
      <c r="BP275" s="13"/>
      <c r="BQ275" s="13"/>
      <c r="BR27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75" s="13">
        <f>FAR[[#This Row],[Cost Price (closing balance)]]+FAR[[#This Row],[Accumulated depreciation (Closing balance)]]+FAR[[#This Row],[Accumulated impairments (Closing balance)]]</f>
        <v>2.9257368091020908</v>
      </c>
      <c r="BT275" s="13"/>
      <c r="BU275" s="13"/>
      <c r="BV275" s="13"/>
      <c r="BW275" s="10" t="s">
        <v>167</v>
      </c>
      <c r="BX275" s="9" t="s">
        <v>168</v>
      </c>
      <c r="BY275" s="10"/>
      <c r="BZ275" t="s">
        <v>974</v>
      </c>
      <c r="CA275"/>
      <c r="CB275" s="34"/>
      <c r="CC275" s="34"/>
      <c r="CD275" s="34"/>
      <c r="CE275" s="141"/>
    </row>
    <row r="276" spans="1:83">
      <c r="A276" s="35">
        <v>1131</v>
      </c>
      <c r="B276" s="9" t="s">
        <v>866</v>
      </c>
      <c r="C276" s="9" t="s">
        <v>54</v>
      </c>
      <c r="D276" s="10" t="s">
        <v>1</v>
      </c>
      <c r="E276" s="9" t="s">
        <v>115</v>
      </c>
      <c r="F276" s="36" t="s">
        <v>99</v>
      </c>
      <c r="G276" s="9" t="s">
        <v>100</v>
      </c>
      <c r="H276" s="3" t="s">
        <v>128</v>
      </c>
      <c r="I276" s="9" t="s">
        <v>100</v>
      </c>
      <c r="J276" s="36" t="s">
        <v>101</v>
      </c>
      <c r="K276" s="10" t="s">
        <v>559</v>
      </c>
      <c r="L276" s="10" t="s">
        <v>559</v>
      </c>
      <c r="M276" s="9" t="s">
        <v>100</v>
      </c>
      <c r="N276" s="10" t="s">
        <v>549</v>
      </c>
      <c r="O276" s="9" t="s">
        <v>100</v>
      </c>
      <c r="P276" s="10"/>
      <c r="Q276" s="10" t="s">
        <v>549</v>
      </c>
      <c r="R276" s="10" t="s">
        <v>119</v>
      </c>
      <c r="S276" s="10" t="s">
        <v>130</v>
      </c>
      <c r="T276" s="10" t="s">
        <v>120</v>
      </c>
      <c r="U276" s="10" t="s">
        <v>101</v>
      </c>
      <c r="V276" s="10" t="s">
        <v>121</v>
      </c>
      <c r="W276" s="10" t="s">
        <v>122</v>
      </c>
      <c r="X276" s="10" t="s">
        <v>123</v>
      </c>
      <c r="Y276" s="29">
        <v>1</v>
      </c>
      <c r="Z276" s="138" t="s">
        <v>596</v>
      </c>
      <c r="AA276" s="138">
        <v>43285</v>
      </c>
      <c r="AB276" s="9" t="s">
        <v>114</v>
      </c>
      <c r="AC276" s="9" t="s">
        <v>124</v>
      </c>
      <c r="AD276" s="15">
        <v>44651</v>
      </c>
      <c r="AE276" s="39" t="s">
        <v>125</v>
      </c>
      <c r="AF276" s="177">
        <v>6</v>
      </c>
      <c r="AG276" s="140">
        <v>0</v>
      </c>
      <c r="AH276" s="9">
        <v>0</v>
      </c>
      <c r="AI276" s="10" t="s">
        <v>126</v>
      </c>
      <c r="AJ276" s="10"/>
      <c r="AK276" s="29"/>
      <c r="AL276" s="12">
        <v>1.0082191780821916</v>
      </c>
      <c r="AM276" s="10"/>
      <c r="AN276" s="12">
        <f>FAR[[#This Row],[Opening RUL]]+FAR[[#This Row],[RUL Adjustment]]</f>
        <v>1.0082191780821916</v>
      </c>
      <c r="AO276" s="12">
        <f>FAR[[#This Row],[Opening RUL 30 June 2026]]-1</f>
        <v>8.219178082191636E-3</v>
      </c>
      <c r="AP276" s="12" t="s">
        <v>1050</v>
      </c>
      <c r="AQ276" s="139"/>
      <c r="AR276" s="10" t="s">
        <v>127</v>
      </c>
      <c r="AS276" s="13">
        <v>8520</v>
      </c>
      <c r="AT276" s="13"/>
      <c r="AU276" s="13">
        <v>0</v>
      </c>
      <c r="AV276" s="13">
        <v>0</v>
      </c>
      <c r="AW276" s="13">
        <v>0</v>
      </c>
      <c r="AX276" s="13">
        <v>8520</v>
      </c>
      <c r="AY276" s="13">
        <v>358.89038191644977</v>
      </c>
      <c r="AZ276" s="13">
        <v>0</v>
      </c>
      <c r="BA276" s="13"/>
      <c r="BB276" s="13"/>
      <c r="BC276" s="13">
        <v>-8161.1096180835502</v>
      </c>
      <c r="BD276" s="13"/>
      <c r="BE276" s="13" t="s">
        <v>114</v>
      </c>
      <c r="BF276" s="29"/>
      <c r="BG276" s="13"/>
      <c r="BH276" s="13">
        <f>-FAR[[#This Row],[Carrying value (opening balance)]]/FAR[[#This Row],[Opening RUL 30 June 2026]]</f>
        <v>-355.9646451073483</v>
      </c>
      <c r="BI276" s="13">
        <f>FAR[[#This Row],[Depreciation YTD]]/12</f>
        <v>-29.663720425612357</v>
      </c>
      <c r="BJ276" s="13"/>
      <c r="BK276" s="13" t="s">
        <v>116</v>
      </c>
      <c r="BL276" s="13">
        <v>0</v>
      </c>
      <c r="BM276" s="13">
        <f>FAR[[#This Row],[Accumulated depreciation (Opening balance)]]+FAR[[#This Row],[Depreciation YTD]]+FAR[[#This Row],[Derecognitions (acc dep) '[+']]]</f>
        <v>-8517.0742631908979</v>
      </c>
      <c r="BN276" s="13"/>
      <c r="BO276" s="13"/>
      <c r="BP276" s="13"/>
      <c r="BQ276" s="13"/>
      <c r="BR27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76" s="13">
        <f>FAR[[#This Row],[Cost Price (closing balance)]]+FAR[[#This Row],[Accumulated depreciation (Closing balance)]]+FAR[[#This Row],[Accumulated impairments (Closing balance)]]</f>
        <v>2.9257368091020908</v>
      </c>
      <c r="BT276" s="13"/>
      <c r="BU276" s="13"/>
      <c r="BV276" s="13"/>
      <c r="BW276" s="10" t="s">
        <v>167</v>
      </c>
      <c r="BX276" s="9" t="s">
        <v>168</v>
      </c>
      <c r="BY276" s="10"/>
      <c r="BZ276" t="s">
        <v>983</v>
      </c>
      <c r="CA276"/>
      <c r="CB276" s="34"/>
      <c r="CC276" s="34"/>
      <c r="CD276" s="34"/>
      <c r="CE276" s="141"/>
    </row>
    <row r="277" spans="1:83">
      <c r="A277" s="35">
        <v>1132</v>
      </c>
      <c r="B277" s="9" t="s">
        <v>859</v>
      </c>
      <c r="C277" s="9" t="s">
        <v>54</v>
      </c>
      <c r="D277" s="10" t="s">
        <v>1</v>
      </c>
      <c r="E277" s="9" t="s">
        <v>115</v>
      </c>
      <c r="F277" s="36" t="s">
        <v>99</v>
      </c>
      <c r="G277" s="9" t="s">
        <v>100</v>
      </c>
      <c r="H277" s="3" t="s">
        <v>128</v>
      </c>
      <c r="I277" s="9" t="s">
        <v>100</v>
      </c>
      <c r="J277" s="36" t="s">
        <v>101</v>
      </c>
      <c r="K277" s="10" t="s">
        <v>559</v>
      </c>
      <c r="L277" s="10" t="s">
        <v>559</v>
      </c>
      <c r="M277" s="9" t="s">
        <v>100</v>
      </c>
      <c r="N277" s="10" t="s">
        <v>549</v>
      </c>
      <c r="O277" s="9" t="s">
        <v>100</v>
      </c>
      <c r="P277" s="10"/>
      <c r="Q277" s="10" t="s">
        <v>549</v>
      </c>
      <c r="R277" s="10" t="s">
        <v>119</v>
      </c>
      <c r="S277" s="10" t="s">
        <v>130</v>
      </c>
      <c r="T277" s="10" t="s">
        <v>120</v>
      </c>
      <c r="U277" s="10" t="s">
        <v>101</v>
      </c>
      <c r="V277" s="10" t="s">
        <v>121</v>
      </c>
      <c r="W277" s="10" t="s">
        <v>122</v>
      </c>
      <c r="X277" s="10" t="s">
        <v>123</v>
      </c>
      <c r="Y277" s="29">
        <v>1</v>
      </c>
      <c r="Z277" s="138" t="s">
        <v>596</v>
      </c>
      <c r="AA277" s="138">
        <v>43285</v>
      </c>
      <c r="AB277" s="9" t="s">
        <v>114</v>
      </c>
      <c r="AC277" s="9" t="s">
        <v>124</v>
      </c>
      <c r="AD277" s="15">
        <v>44651</v>
      </c>
      <c r="AE277" s="39" t="s">
        <v>125</v>
      </c>
      <c r="AF277" s="177">
        <v>6</v>
      </c>
      <c r="AG277" s="140">
        <v>0</v>
      </c>
      <c r="AH277" s="9">
        <v>0</v>
      </c>
      <c r="AI277" s="10" t="s">
        <v>126</v>
      </c>
      <c r="AJ277" s="10"/>
      <c r="AK277" s="29"/>
      <c r="AL277" s="12">
        <v>1.0082191780821916</v>
      </c>
      <c r="AM277" s="10"/>
      <c r="AN277" s="12">
        <f>FAR[[#This Row],[Opening RUL]]+FAR[[#This Row],[RUL Adjustment]]</f>
        <v>1.0082191780821916</v>
      </c>
      <c r="AO277" s="12">
        <f>FAR[[#This Row],[Opening RUL 30 June 2026]]-1</f>
        <v>8.219178082191636E-3</v>
      </c>
      <c r="AP277" s="12" t="s">
        <v>1050</v>
      </c>
      <c r="AQ277" s="139"/>
      <c r="AR277" s="10" t="s">
        <v>127</v>
      </c>
      <c r="AS277" s="13">
        <v>8520</v>
      </c>
      <c r="AT277" s="13"/>
      <c r="AU277" s="13">
        <v>0</v>
      </c>
      <c r="AV277" s="13">
        <v>0</v>
      </c>
      <c r="AW277" s="13">
        <v>0</v>
      </c>
      <c r="AX277" s="13">
        <v>8520</v>
      </c>
      <c r="AY277" s="13">
        <v>358.89038191644977</v>
      </c>
      <c r="AZ277" s="13">
        <v>0</v>
      </c>
      <c r="BA277" s="13"/>
      <c r="BB277" s="13"/>
      <c r="BC277" s="13">
        <v>-8161.1096180835502</v>
      </c>
      <c r="BD277" s="13"/>
      <c r="BE277" s="13" t="s">
        <v>114</v>
      </c>
      <c r="BF277" s="29"/>
      <c r="BG277" s="13"/>
      <c r="BH277" s="13">
        <f>-FAR[[#This Row],[Carrying value (opening balance)]]/FAR[[#This Row],[Opening RUL 30 June 2026]]</f>
        <v>-355.9646451073483</v>
      </c>
      <c r="BI277" s="13">
        <f>FAR[[#This Row],[Depreciation YTD]]/12</f>
        <v>-29.663720425612357</v>
      </c>
      <c r="BJ277" s="13"/>
      <c r="BK277" s="13" t="s">
        <v>116</v>
      </c>
      <c r="BL277" s="13">
        <v>0</v>
      </c>
      <c r="BM277" s="13">
        <f>FAR[[#This Row],[Accumulated depreciation (Opening balance)]]+FAR[[#This Row],[Depreciation YTD]]+FAR[[#This Row],[Derecognitions (acc dep) '[+']]]</f>
        <v>-8517.0742631908979</v>
      </c>
      <c r="BN277" s="13"/>
      <c r="BO277" s="13"/>
      <c r="BP277" s="13"/>
      <c r="BQ277" s="13"/>
      <c r="BR27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77" s="13">
        <f>FAR[[#This Row],[Cost Price (closing balance)]]+FAR[[#This Row],[Accumulated depreciation (Closing balance)]]+FAR[[#This Row],[Accumulated impairments (Closing balance)]]</f>
        <v>2.9257368091020908</v>
      </c>
      <c r="BT277" s="13"/>
      <c r="BU277" s="13"/>
      <c r="BV277" s="13"/>
      <c r="BW277" s="10" t="s">
        <v>167</v>
      </c>
      <c r="BX277" s="9" t="s">
        <v>168</v>
      </c>
      <c r="BY277" s="10"/>
      <c r="BZ277" t="s">
        <v>938</v>
      </c>
      <c r="CA277"/>
      <c r="CB277" s="34"/>
      <c r="CC277" s="34"/>
      <c r="CD277" s="34"/>
      <c r="CE277" s="141"/>
    </row>
    <row r="278" spans="1:83">
      <c r="A278" s="35">
        <v>1133</v>
      </c>
      <c r="B278" s="9" t="s">
        <v>886</v>
      </c>
      <c r="C278" s="9" t="s">
        <v>54</v>
      </c>
      <c r="D278" s="10" t="s">
        <v>1</v>
      </c>
      <c r="E278" s="9" t="s">
        <v>115</v>
      </c>
      <c r="F278" s="36" t="s">
        <v>99</v>
      </c>
      <c r="G278" s="9" t="s">
        <v>100</v>
      </c>
      <c r="H278" s="3" t="s">
        <v>128</v>
      </c>
      <c r="I278" s="9" t="s">
        <v>100</v>
      </c>
      <c r="J278" s="36" t="s">
        <v>101</v>
      </c>
      <c r="K278" s="10" t="s">
        <v>559</v>
      </c>
      <c r="L278" s="10" t="s">
        <v>559</v>
      </c>
      <c r="M278" s="9" t="s">
        <v>100</v>
      </c>
      <c r="N278" s="10" t="s">
        <v>549</v>
      </c>
      <c r="O278" s="9" t="s">
        <v>100</v>
      </c>
      <c r="P278" s="10"/>
      <c r="Q278" s="10" t="s">
        <v>549</v>
      </c>
      <c r="R278" s="10" t="s">
        <v>119</v>
      </c>
      <c r="S278" s="10" t="s">
        <v>130</v>
      </c>
      <c r="T278" s="10" t="s">
        <v>120</v>
      </c>
      <c r="U278" s="10" t="s">
        <v>101</v>
      </c>
      <c r="V278" s="10" t="s">
        <v>121</v>
      </c>
      <c r="W278" s="10" t="s">
        <v>122</v>
      </c>
      <c r="X278" s="10" t="s">
        <v>123</v>
      </c>
      <c r="Y278" s="29">
        <v>1</v>
      </c>
      <c r="Z278" s="138" t="s">
        <v>596</v>
      </c>
      <c r="AA278" s="138">
        <v>43285</v>
      </c>
      <c r="AB278" s="9" t="s">
        <v>114</v>
      </c>
      <c r="AC278" s="9" t="s">
        <v>124</v>
      </c>
      <c r="AD278" s="15">
        <v>44651</v>
      </c>
      <c r="AE278" s="39" t="s">
        <v>125</v>
      </c>
      <c r="AF278" s="177">
        <v>6</v>
      </c>
      <c r="AG278" s="140">
        <v>0</v>
      </c>
      <c r="AH278" s="9">
        <v>0</v>
      </c>
      <c r="AI278" s="10" t="s">
        <v>126</v>
      </c>
      <c r="AJ278" s="10"/>
      <c r="AK278" s="29"/>
      <c r="AL278" s="12">
        <v>1.0082191780821916</v>
      </c>
      <c r="AM278" s="10"/>
      <c r="AN278" s="12">
        <f>FAR[[#This Row],[Opening RUL]]+FAR[[#This Row],[RUL Adjustment]]</f>
        <v>1.0082191780821916</v>
      </c>
      <c r="AO278" s="12">
        <f>FAR[[#This Row],[Opening RUL 30 June 2026]]-1</f>
        <v>8.219178082191636E-3</v>
      </c>
      <c r="AP278" s="12" t="s">
        <v>1050</v>
      </c>
      <c r="AQ278" s="139"/>
      <c r="AR278" s="10" t="s">
        <v>127</v>
      </c>
      <c r="AS278" s="13">
        <v>8520</v>
      </c>
      <c r="AT278" s="13"/>
      <c r="AU278" s="13">
        <v>0</v>
      </c>
      <c r="AV278" s="13">
        <v>0</v>
      </c>
      <c r="AW278" s="13">
        <v>0</v>
      </c>
      <c r="AX278" s="13">
        <v>8520</v>
      </c>
      <c r="AY278" s="13">
        <v>358.89038191644977</v>
      </c>
      <c r="AZ278" s="13">
        <v>0</v>
      </c>
      <c r="BA278" s="13"/>
      <c r="BB278" s="13"/>
      <c r="BC278" s="13">
        <v>-8161.1096180835502</v>
      </c>
      <c r="BD278" s="13"/>
      <c r="BE278" s="13" t="s">
        <v>114</v>
      </c>
      <c r="BF278" s="29"/>
      <c r="BG278" s="13"/>
      <c r="BH278" s="13">
        <f>-FAR[[#This Row],[Carrying value (opening balance)]]/FAR[[#This Row],[Opening RUL 30 June 2026]]</f>
        <v>-355.9646451073483</v>
      </c>
      <c r="BI278" s="13">
        <f>FAR[[#This Row],[Depreciation YTD]]/12</f>
        <v>-29.663720425612357</v>
      </c>
      <c r="BJ278" s="13"/>
      <c r="BK278" s="13" t="s">
        <v>116</v>
      </c>
      <c r="BL278" s="13">
        <v>0</v>
      </c>
      <c r="BM278" s="13">
        <f>FAR[[#This Row],[Accumulated depreciation (Opening balance)]]+FAR[[#This Row],[Depreciation YTD]]+FAR[[#This Row],[Derecognitions (acc dep) '[+']]]</f>
        <v>-8517.0742631908979</v>
      </c>
      <c r="BN278" s="13"/>
      <c r="BO278" s="13"/>
      <c r="BP278" s="13"/>
      <c r="BQ278" s="13"/>
      <c r="BR27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78" s="13">
        <f>FAR[[#This Row],[Cost Price (closing balance)]]+FAR[[#This Row],[Accumulated depreciation (Closing balance)]]+FAR[[#This Row],[Accumulated impairments (Closing balance)]]</f>
        <v>2.9257368091020908</v>
      </c>
      <c r="BT278" s="13"/>
      <c r="BU278" s="13"/>
      <c r="BV278" s="13"/>
      <c r="BW278" s="10" t="s">
        <v>167</v>
      </c>
      <c r="BX278" s="9" t="s">
        <v>168</v>
      </c>
      <c r="BY278" s="10"/>
      <c r="BZ278" t="s">
        <v>995</v>
      </c>
      <c r="CA278"/>
      <c r="CB278" s="34"/>
      <c r="CC278" s="34"/>
      <c r="CD278" s="34"/>
      <c r="CE278" s="141"/>
    </row>
    <row r="279" spans="1:83">
      <c r="A279" s="35">
        <v>1134</v>
      </c>
      <c r="B279" s="9" t="s">
        <v>855</v>
      </c>
      <c r="C279" s="9" t="s">
        <v>54</v>
      </c>
      <c r="D279" s="10" t="s">
        <v>1</v>
      </c>
      <c r="E279" s="9" t="s">
        <v>115</v>
      </c>
      <c r="F279" s="36" t="s">
        <v>99</v>
      </c>
      <c r="G279" s="9" t="s">
        <v>100</v>
      </c>
      <c r="H279" s="3" t="s">
        <v>128</v>
      </c>
      <c r="I279" s="9" t="s">
        <v>100</v>
      </c>
      <c r="J279" s="36" t="s">
        <v>101</v>
      </c>
      <c r="K279" s="10" t="s">
        <v>559</v>
      </c>
      <c r="L279" s="10" t="s">
        <v>559</v>
      </c>
      <c r="M279" s="9" t="s">
        <v>100</v>
      </c>
      <c r="N279" s="10" t="s">
        <v>549</v>
      </c>
      <c r="O279" s="9" t="s">
        <v>100</v>
      </c>
      <c r="P279" s="10"/>
      <c r="Q279" s="10" t="s">
        <v>549</v>
      </c>
      <c r="R279" s="10" t="s">
        <v>119</v>
      </c>
      <c r="S279" s="10" t="s">
        <v>130</v>
      </c>
      <c r="T279" s="10" t="s">
        <v>120</v>
      </c>
      <c r="U279" s="10" t="s">
        <v>101</v>
      </c>
      <c r="V279" s="10" t="s">
        <v>121</v>
      </c>
      <c r="W279" s="10" t="s">
        <v>122</v>
      </c>
      <c r="X279" s="10" t="s">
        <v>123</v>
      </c>
      <c r="Y279" s="29">
        <v>1</v>
      </c>
      <c r="Z279" s="138" t="s">
        <v>596</v>
      </c>
      <c r="AA279" s="138">
        <v>43285</v>
      </c>
      <c r="AB279" s="9" t="s">
        <v>114</v>
      </c>
      <c r="AC279" s="9" t="s">
        <v>124</v>
      </c>
      <c r="AD279" s="15">
        <v>44651</v>
      </c>
      <c r="AE279" s="39" t="s">
        <v>125</v>
      </c>
      <c r="AF279" s="177">
        <v>6</v>
      </c>
      <c r="AG279" s="140">
        <v>0</v>
      </c>
      <c r="AH279" s="9">
        <v>0</v>
      </c>
      <c r="AI279" s="10" t="s">
        <v>126</v>
      </c>
      <c r="AJ279" s="10"/>
      <c r="AK279" s="29"/>
      <c r="AL279" s="12">
        <v>1.0082191780821916</v>
      </c>
      <c r="AM279" s="10"/>
      <c r="AN279" s="12">
        <f>FAR[[#This Row],[Opening RUL]]+FAR[[#This Row],[RUL Adjustment]]</f>
        <v>1.0082191780821916</v>
      </c>
      <c r="AO279" s="12">
        <f>FAR[[#This Row],[Opening RUL 30 June 2026]]-1</f>
        <v>8.219178082191636E-3</v>
      </c>
      <c r="AP279" s="12" t="s">
        <v>1051</v>
      </c>
      <c r="AQ279" s="139"/>
      <c r="AR279" s="10" t="s">
        <v>127</v>
      </c>
      <c r="AS279" s="13">
        <v>8520</v>
      </c>
      <c r="AT279" s="13"/>
      <c r="AU279" s="13">
        <v>0</v>
      </c>
      <c r="AV279" s="13">
        <v>0</v>
      </c>
      <c r="AW279" s="13">
        <v>0</v>
      </c>
      <c r="AX279" s="13">
        <v>8520</v>
      </c>
      <c r="AY279" s="13">
        <v>358.89038191644977</v>
      </c>
      <c r="AZ279" s="13">
        <v>0</v>
      </c>
      <c r="BA279" s="13"/>
      <c r="BB279" s="13"/>
      <c r="BC279" s="13">
        <v>-8161.1096180835502</v>
      </c>
      <c r="BD279" s="13"/>
      <c r="BE279" s="13" t="s">
        <v>114</v>
      </c>
      <c r="BF279" s="29"/>
      <c r="BG279" s="13"/>
      <c r="BH279" s="13">
        <f>-FAR[[#This Row],[Carrying value (opening balance)]]/FAR[[#This Row],[Opening RUL 30 June 2026]]</f>
        <v>-355.9646451073483</v>
      </c>
      <c r="BI279" s="13">
        <f>FAR[[#This Row],[Depreciation YTD]]/12</f>
        <v>-29.663720425612357</v>
      </c>
      <c r="BJ279" s="13"/>
      <c r="BK279" s="13" t="s">
        <v>116</v>
      </c>
      <c r="BL279" s="13">
        <v>0</v>
      </c>
      <c r="BM279" s="13">
        <f>FAR[[#This Row],[Accumulated depreciation (Opening balance)]]+FAR[[#This Row],[Depreciation YTD]]+FAR[[#This Row],[Derecognitions (acc dep) '[+']]]</f>
        <v>-8517.0742631908979</v>
      </c>
      <c r="BN279" s="13"/>
      <c r="BO279" s="13"/>
      <c r="BP279" s="13"/>
      <c r="BQ279" s="13"/>
      <c r="BR27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79" s="13">
        <f>FAR[[#This Row],[Cost Price (closing balance)]]+FAR[[#This Row],[Accumulated depreciation (Closing balance)]]+FAR[[#This Row],[Accumulated impairments (Closing balance)]]</f>
        <v>2.9257368091020908</v>
      </c>
      <c r="BT279" s="13"/>
      <c r="BU279" s="13"/>
      <c r="BV279" s="13"/>
      <c r="BW279" s="10" t="s">
        <v>167</v>
      </c>
      <c r="BX279" s="9" t="s">
        <v>168</v>
      </c>
      <c r="BY279" s="10"/>
      <c r="BZ279" t="s">
        <v>941</v>
      </c>
      <c r="CA279"/>
      <c r="CB279" s="34"/>
      <c r="CC279" s="34"/>
      <c r="CD279" s="34"/>
      <c r="CE279" s="141"/>
    </row>
    <row r="280" spans="1:83">
      <c r="A280" s="35">
        <v>1135</v>
      </c>
      <c r="B280" s="9" t="s">
        <v>851</v>
      </c>
      <c r="C280" s="9" t="s">
        <v>54</v>
      </c>
      <c r="D280" s="10" t="s">
        <v>1</v>
      </c>
      <c r="E280" s="9" t="s">
        <v>115</v>
      </c>
      <c r="F280" s="36" t="s">
        <v>99</v>
      </c>
      <c r="G280" s="9" t="s">
        <v>100</v>
      </c>
      <c r="H280" s="3" t="s">
        <v>128</v>
      </c>
      <c r="I280" s="9" t="s">
        <v>100</v>
      </c>
      <c r="J280" s="36" t="s">
        <v>101</v>
      </c>
      <c r="K280" s="10" t="s">
        <v>559</v>
      </c>
      <c r="L280" s="10" t="s">
        <v>559</v>
      </c>
      <c r="M280" s="9" t="s">
        <v>100</v>
      </c>
      <c r="N280" s="10" t="s">
        <v>549</v>
      </c>
      <c r="O280" s="9" t="s">
        <v>100</v>
      </c>
      <c r="P280" s="10"/>
      <c r="Q280" s="10" t="s">
        <v>549</v>
      </c>
      <c r="R280" s="10" t="s">
        <v>119</v>
      </c>
      <c r="S280" s="10" t="s">
        <v>130</v>
      </c>
      <c r="T280" s="10" t="s">
        <v>120</v>
      </c>
      <c r="U280" s="10" t="s">
        <v>101</v>
      </c>
      <c r="V280" s="10" t="s">
        <v>121</v>
      </c>
      <c r="W280" s="10" t="s">
        <v>122</v>
      </c>
      <c r="X280" s="10" t="s">
        <v>123</v>
      </c>
      <c r="Y280" s="29">
        <v>1</v>
      </c>
      <c r="Z280" s="138" t="s">
        <v>596</v>
      </c>
      <c r="AA280" s="138">
        <v>43285</v>
      </c>
      <c r="AB280" s="9" t="s">
        <v>114</v>
      </c>
      <c r="AC280" s="9" t="s">
        <v>124</v>
      </c>
      <c r="AD280" s="15">
        <v>44651</v>
      </c>
      <c r="AE280" s="39" t="s">
        <v>125</v>
      </c>
      <c r="AF280" s="177">
        <v>6</v>
      </c>
      <c r="AG280" s="140">
        <v>0</v>
      </c>
      <c r="AH280" s="9">
        <v>0</v>
      </c>
      <c r="AI280" s="10" t="s">
        <v>126</v>
      </c>
      <c r="AJ280" s="10"/>
      <c r="AK280" s="29"/>
      <c r="AL280" s="12">
        <v>1.0082191780821916</v>
      </c>
      <c r="AM280" s="10"/>
      <c r="AN280" s="12">
        <f>FAR[[#This Row],[Opening RUL]]+FAR[[#This Row],[RUL Adjustment]]</f>
        <v>1.0082191780821916</v>
      </c>
      <c r="AO280" s="12">
        <f>FAR[[#This Row],[Opening RUL 30 June 2026]]-1</f>
        <v>8.219178082191636E-3</v>
      </c>
      <c r="AP280" s="12" t="s">
        <v>1050</v>
      </c>
      <c r="AQ280" s="139"/>
      <c r="AR280" s="10" t="s">
        <v>127</v>
      </c>
      <c r="AS280" s="13">
        <v>8520</v>
      </c>
      <c r="AT280" s="13"/>
      <c r="AU280" s="13">
        <v>0</v>
      </c>
      <c r="AV280" s="13">
        <v>0</v>
      </c>
      <c r="AW280" s="13">
        <v>0</v>
      </c>
      <c r="AX280" s="13">
        <v>8520</v>
      </c>
      <c r="AY280" s="13">
        <v>358.89038191644977</v>
      </c>
      <c r="AZ280" s="13">
        <v>0</v>
      </c>
      <c r="BA280" s="13"/>
      <c r="BB280" s="13"/>
      <c r="BC280" s="13">
        <v>-8161.1096180835502</v>
      </c>
      <c r="BD280" s="13"/>
      <c r="BE280" s="13" t="s">
        <v>114</v>
      </c>
      <c r="BF280" s="29"/>
      <c r="BG280" s="13"/>
      <c r="BH280" s="13">
        <f>-FAR[[#This Row],[Carrying value (opening balance)]]/FAR[[#This Row],[Opening RUL 30 June 2026]]</f>
        <v>-355.9646451073483</v>
      </c>
      <c r="BI280" s="13">
        <f>FAR[[#This Row],[Depreciation YTD]]/12</f>
        <v>-29.663720425612357</v>
      </c>
      <c r="BJ280" s="13"/>
      <c r="BK280" s="13" t="s">
        <v>116</v>
      </c>
      <c r="BL280" s="13">
        <v>0</v>
      </c>
      <c r="BM280" s="13">
        <f>FAR[[#This Row],[Accumulated depreciation (Opening balance)]]+FAR[[#This Row],[Depreciation YTD]]+FAR[[#This Row],[Derecognitions (acc dep) '[+']]]</f>
        <v>-8517.0742631908979</v>
      </c>
      <c r="BN280" s="13"/>
      <c r="BO280" s="13"/>
      <c r="BP280" s="13"/>
      <c r="BQ280" s="13"/>
      <c r="BR28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80" s="13">
        <f>FAR[[#This Row],[Cost Price (closing balance)]]+FAR[[#This Row],[Accumulated depreciation (Closing balance)]]+FAR[[#This Row],[Accumulated impairments (Closing balance)]]</f>
        <v>2.9257368091020908</v>
      </c>
      <c r="BT280" s="13"/>
      <c r="BU280" s="13"/>
      <c r="BV280" s="13"/>
      <c r="BW280" s="10" t="s">
        <v>167</v>
      </c>
      <c r="BX280" s="9" t="s">
        <v>168</v>
      </c>
      <c r="BY280" s="10"/>
      <c r="BZ280" t="s">
        <v>1012</v>
      </c>
      <c r="CA280"/>
      <c r="CB280" s="34"/>
      <c r="CC280" s="34"/>
      <c r="CD280" s="34"/>
      <c r="CE280" s="141"/>
    </row>
    <row r="281" spans="1:83">
      <c r="A281" s="35">
        <v>1136</v>
      </c>
      <c r="B281" s="9" t="s">
        <v>886</v>
      </c>
      <c r="C281" s="9" t="s">
        <v>54</v>
      </c>
      <c r="D281" s="10" t="s">
        <v>1</v>
      </c>
      <c r="E281" s="9" t="s">
        <v>115</v>
      </c>
      <c r="F281" s="36" t="s">
        <v>99</v>
      </c>
      <c r="G281" s="9" t="s">
        <v>100</v>
      </c>
      <c r="H281" s="3" t="s">
        <v>128</v>
      </c>
      <c r="I281" s="9" t="s">
        <v>100</v>
      </c>
      <c r="J281" s="36" t="s">
        <v>101</v>
      </c>
      <c r="K281" s="10" t="s">
        <v>559</v>
      </c>
      <c r="L281" s="10" t="s">
        <v>559</v>
      </c>
      <c r="M281" s="9" t="s">
        <v>100</v>
      </c>
      <c r="N281" s="10" t="s">
        <v>549</v>
      </c>
      <c r="O281" s="9" t="s">
        <v>100</v>
      </c>
      <c r="P281" s="10"/>
      <c r="Q281" s="10" t="s">
        <v>549</v>
      </c>
      <c r="R281" s="10" t="s">
        <v>119</v>
      </c>
      <c r="S281" s="10" t="s">
        <v>130</v>
      </c>
      <c r="T281" s="10" t="s">
        <v>120</v>
      </c>
      <c r="U281" s="10" t="s">
        <v>101</v>
      </c>
      <c r="V281" s="10" t="s">
        <v>121</v>
      </c>
      <c r="W281" s="10" t="s">
        <v>122</v>
      </c>
      <c r="X281" s="10" t="s">
        <v>123</v>
      </c>
      <c r="Y281" s="29">
        <v>1</v>
      </c>
      <c r="Z281" s="138" t="s">
        <v>596</v>
      </c>
      <c r="AA281" s="138">
        <v>43285</v>
      </c>
      <c r="AB281" s="9" t="s">
        <v>114</v>
      </c>
      <c r="AC281" s="9" t="s">
        <v>124</v>
      </c>
      <c r="AD281" s="15">
        <v>44651</v>
      </c>
      <c r="AE281" s="39" t="s">
        <v>125</v>
      </c>
      <c r="AF281" s="177">
        <v>6</v>
      </c>
      <c r="AG281" s="140">
        <v>0</v>
      </c>
      <c r="AH281" s="9">
        <v>0</v>
      </c>
      <c r="AI281" s="10" t="s">
        <v>126</v>
      </c>
      <c r="AJ281" s="10"/>
      <c r="AK281" s="29"/>
      <c r="AL281" s="12">
        <v>1.0082191780821916</v>
      </c>
      <c r="AM281" s="10"/>
      <c r="AN281" s="12">
        <f>FAR[[#This Row],[Opening RUL]]+FAR[[#This Row],[RUL Adjustment]]</f>
        <v>1.0082191780821916</v>
      </c>
      <c r="AO281" s="12">
        <f>FAR[[#This Row],[Opening RUL 30 June 2026]]-1</f>
        <v>8.219178082191636E-3</v>
      </c>
      <c r="AP281" s="12" t="s">
        <v>1050</v>
      </c>
      <c r="AQ281" s="139"/>
      <c r="AR281" s="10" t="s">
        <v>127</v>
      </c>
      <c r="AS281" s="13">
        <v>8520</v>
      </c>
      <c r="AT281" s="13"/>
      <c r="AU281" s="13">
        <v>0</v>
      </c>
      <c r="AV281" s="13">
        <v>0</v>
      </c>
      <c r="AW281" s="13">
        <v>0</v>
      </c>
      <c r="AX281" s="13">
        <v>8520</v>
      </c>
      <c r="AY281" s="13">
        <v>358.89038191644977</v>
      </c>
      <c r="AZ281" s="13">
        <v>0</v>
      </c>
      <c r="BA281" s="13"/>
      <c r="BB281" s="13"/>
      <c r="BC281" s="13">
        <v>-8161.1096180835502</v>
      </c>
      <c r="BD281" s="13"/>
      <c r="BE281" s="13" t="s">
        <v>114</v>
      </c>
      <c r="BF281" s="29"/>
      <c r="BG281" s="13"/>
      <c r="BH281" s="13">
        <f>-FAR[[#This Row],[Carrying value (opening balance)]]/FAR[[#This Row],[Opening RUL 30 June 2026]]</f>
        <v>-355.9646451073483</v>
      </c>
      <c r="BI281" s="13">
        <f>FAR[[#This Row],[Depreciation YTD]]/12</f>
        <v>-29.663720425612357</v>
      </c>
      <c r="BJ281" s="13"/>
      <c r="BK281" s="13" t="s">
        <v>116</v>
      </c>
      <c r="BL281" s="13">
        <v>0</v>
      </c>
      <c r="BM281" s="13">
        <f>FAR[[#This Row],[Accumulated depreciation (Opening balance)]]+FAR[[#This Row],[Depreciation YTD]]+FAR[[#This Row],[Derecognitions (acc dep) '[+']]]</f>
        <v>-8517.0742631908979</v>
      </c>
      <c r="BN281" s="13"/>
      <c r="BO281" s="13"/>
      <c r="BP281" s="13"/>
      <c r="BQ281" s="13"/>
      <c r="BR28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81" s="13">
        <f>FAR[[#This Row],[Cost Price (closing balance)]]+FAR[[#This Row],[Accumulated depreciation (Closing balance)]]+FAR[[#This Row],[Accumulated impairments (Closing balance)]]</f>
        <v>2.9257368091020908</v>
      </c>
      <c r="BT281" s="13"/>
      <c r="BU281" s="13"/>
      <c r="BV281" s="13"/>
      <c r="BW281" s="10" t="s">
        <v>167</v>
      </c>
      <c r="BX281" s="9" t="s">
        <v>168</v>
      </c>
      <c r="BY281" s="10"/>
      <c r="BZ281" t="s">
        <v>991</v>
      </c>
      <c r="CA281"/>
      <c r="CB281" s="34"/>
      <c r="CC281" s="34"/>
      <c r="CD281" s="34"/>
      <c r="CE281" s="141"/>
    </row>
    <row r="282" spans="1:83">
      <c r="A282" s="35">
        <v>1137</v>
      </c>
      <c r="B282" s="9" t="s">
        <v>901</v>
      </c>
      <c r="C282" s="9" t="s">
        <v>54</v>
      </c>
      <c r="D282" s="10" t="s">
        <v>1</v>
      </c>
      <c r="E282" s="9" t="s">
        <v>115</v>
      </c>
      <c r="F282" s="36" t="s">
        <v>99</v>
      </c>
      <c r="G282" s="9" t="s">
        <v>100</v>
      </c>
      <c r="H282" s="3" t="s">
        <v>128</v>
      </c>
      <c r="I282" s="9" t="s">
        <v>100</v>
      </c>
      <c r="J282" s="36" t="s">
        <v>101</v>
      </c>
      <c r="K282" s="10" t="s">
        <v>559</v>
      </c>
      <c r="L282" s="10" t="s">
        <v>559</v>
      </c>
      <c r="M282" s="9" t="s">
        <v>100</v>
      </c>
      <c r="N282" s="10" t="s">
        <v>552</v>
      </c>
      <c r="O282" s="9" t="s">
        <v>100</v>
      </c>
      <c r="P282" s="10"/>
      <c r="Q282" s="10" t="s">
        <v>552</v>
      </c>
      <c r="R282" s="10" t="s">
        <v>119</v>
      </c>
      <c r="S282" s="10" t="s">
        <v>130</v>
      </c>
      <c r="T282" s="10" t="s">
        <v>120</v>
      </c>
      <c r="U282" s="10" t="s">
        <v>101</v>
      </c>
      <c r="V282" s="10" t="s">
        <v>121</v>
      </c>
      <c r="W282" s="10" t="s">
        <v>122</v>
      </c>
      <c r="X282" s="10" t="s">
        <v>123</v>
      </c>
      <c r="Y282" s="29">
        <v>1</v>
      </c>
      <c r="Z282" s="138" t="s">
        <v>596</v>
      </c>
      <c r="AA282" s="138">
        <v>43285</v>
      </c>
      <c r="AB282" s="9" t="s">
        <v>114</v>
      </c>
      <c r="AC282" s="9" t="s">
        <v>124</v>
      </c>
      <c r="AD282" s="15">
        <v>44651</v>
      </c>
      <c r="AE282" s="39" t="s">
        <v>125</v>
      </c>
      <c r="AF282" s="177">
        <v>6</v>
      </c>
      <c r="AG282" s="140">
        <v>0</v>
      </c>
      <c r="AH282" s="9">
        <v>0</v>
      </c>
      <c r="AI282" s="10" t="s">
        <v>126</v>
      </c>
      <c r="AJ282" s="10"/>
      <c r="AK282" s="29"/>
      <c r="AL282" s="12">
        <v>1.0082191780821916</v>
      </c>
      <c r="AM282" s="10"/>
      <c r="AN282" s="12">
        <f>FAR[[#This Row],[Opening RUL]]+FAR[[#This Row],[RUL Adjustment]]</f>
        <v>1.0082191780821916</v>
      </c>
      <c r="AO282" s="12">
        <f>FAR[[#This Row],[Opening RUL 30 June 2026]]-1</f>
        <v>8.219178082191636E-3</v>
      </c>
      <c r="AP282" s="12" t="s">
        <v>1050</v>
      </c>
      <c r="AQ282" s="139"/>
      <c r="AR282" s="10" t="s">
        <v>127</v>
      </c>
      <c r="AS282" s="13">
        <v>8520</v>
      </c>
      <c r="AT282" s="13"/>
      <c r="AU282" s="13">
        <v>0</v>
      </c>
      <c r="AV282" s="13">
        <v>0</v>
      </c>
      <c r="AW282" s="13">
        <v>0</v>
      </c>
      <c r="AX282" s="13">
        <v>8520</v>
      </c>
      <c r="AY282" s="13">
        <v>358.89038191644977</v>
      </c>
      <c r="AZ282" s="13">
        <v>0</v>
      </c>
      <c r="BA282" s="13"/>
      <c r="BB282" s="13"/>
      <c r="BC282" s="13">
        <v>-8161.1096180835502</v>
      </c>
      <c r="BD282" s="13"/>
      <c r="BE282" s="13" t="s">
        <v>114</v>
      </c>
      <c r="BF282" s="29"/>
      <c r="BG282" s="13"/>
      <c r="BH282" s="13">
        <f>-FAR[[#This Row],[Carrying value (opening balance)]]/FAR[[#This Row],[Opening RUL 30 June 2026]]</f>
        <v>-355.9646451073483</v>
      </c>
      <c r="BI282" s="13">
        <f>FAR[[#This Row],[Depreciation YTD]]/12</f>
        <v>-29.663720425612357</v>
      </c>
      <c r="BJ282" s="13"/>
      <c r="BK282" s="13" t="s">
        <v>116</v>
      </c>
      <c r="BL282" s="13">
        <v>0</v>
      </c>
      <c r="BM282" s="13">
        <f>FAR[[#This Row],[Accumulated depreciation (Opening balance)]]+FAR[[#This Row],[Depreciation YTD]]+FAR[[#This Row],[Derecognitions (acc dep) '[+']]]</f>
        <v>-8517.0742631908979</v>
      </c>
      <c r="BN282" s="13"/>
      <c r="BO282" s="13"/>
      <c r="BP282" s="13"/>
      <c r="BQ282" s="13"/>
      <c r="BR28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82" s="13">
        <f>FAR[[#This Row],[Cost Price (closing balance)]]+FAR[[#This Row],[Accumulated depreciation (Closing balance)]]+FAR[[#This Row],[Accumulated impairments (Closing balance)]]</f>
        <v>2.9257368091020908</v>
      </c>
      <c r="BT282" s="13"/>
      <c r="BU282" s="13"/>
      <c r="BV282" s="13"/>
      <c r="BW282" s="10" t="s">
        <v>167</v>
      </c>
      <c r="BX282" s="9" t="s">
        <v>168</v>
      </c>
      <c r="BY282" s="10"/>
      <c r="BZ282" t="s">
        <v>1018</v>
      </c>
      <c r="CA282"/>
      <c r="CB282" s="34"/>
      <c r="CC282" s="34"/>
      <c r="CD282" s="34"/>
      <c r="CE282" s="141"/>
    </row>
    <row r="283" spans="1:83">
      <c r="A283" s="35">
        <v>1138</v>
      </c>
      <c r="B283" s="9" t="s">
        <v>875</v>
      </c>
      <c r="C283" s="9" t="s">
        <v>54</v>
      </c>
      <c r="D283" s="10" t="s">
        <v>1</v>
      </c>
      <c r="E283" s="9" t="s">
        <v>115</v>
      </c>
      <c r="F283" s="36" t="s">
        <v>99</v>
      </c>
      <c r="G283" s="9" t="s">
        <v>100</v>
      </c>
      <c r="H283" s="3" t="s">
        <v>128</v>
      </c>
      <c r="I283" s="9" t="s">
        <v>100</v>
      </c>
      <c r="J283" s="36" t="s">
        <v>101</v>
      </c>
      <c r="K283" s="10" t="s">
        <v>559</v>
      </c>
      <c r="L283" s="10" t="s">
        <v>559</v>
      </c>
      <c r="M283" s="9" t="s">
        <v>100</v>
      </c>
      <c r="N283" s="10" t="s">
        <v>549</v>
      </c>
      <c r="O283" s="9" t="s">
        <v>100</v>
      </c>
      <c r="P283" s="10"/>
      <c r="Q283" s="10" t="s">
        <v>549</v>
      </c>
      <c r="R283" s="10" t="s">
        <v>119</v>
      </c>
      <c r="S283" s="10" t="s">
        <v>130</v>
      </c>
      <c r="T283" s="10" t="s">
        <v>120</v>
      </c>
      <c r="U283" s="10" t="s">
        <v>101</v>
      </c>
      <c r="V283" s="10" t="s">
        <v>121</v>
      </c>
      <c r="W283" s="10" t="s">
        <v>122</v>
      </c>
      <c r="X283" s="10" t="s">
        <v>123</v>
      </c>
      <c r="Y283" s="29">
        <v>1</v>
      </c>
      <c r="Z283" s="138" t="s">
        <v>596</v>
      </c>
      <c r="AA283" s="138">
        <v>43285</v>
      </c>
      <c r="AB283" s="9" t="s">
        <v>114</v>
      </c>
      <c r="AC283" s="9" t="s">
        <v>124</v>
      </c>
      <c r="AD283" s="15">
        <v>44651</v>
      </c>
      <c r="AE283" s="39" t="s">
        <v>125</v>
      </c>
      <c r="AF283" s="177">
        <v>6</v>
      </c>
      <c r="AG283" s="140">
        <v>0</v>
      </c>
      <c r="AH283" s="9">
        <v>0</v>
      </c>
      <c r="AI283" s="10" t="s">
        <v>126</v>
      </c>
      <c r="AJ283" s="10"/>
      <c r="AK283" s="29"/>
      <c r="AL283" s="12">
        <v>1.0082191780821916</v>
      </c>
      <c r="AM283" s="10"/>
      <c r="AN283" s="12">
        <f>FAR[[#This Row],[Opening RUL]]+FAR[[#This Row],[RUL Adjustment]]</f>
        <v>1.0082191780821916</v>
      </c>
      <c r="AO283" s="12">
        <f>FAR[[#This Row],[Opening RUL 30 June 2026]]-1</f>
        <v>8.219178082191636E-3</v>
      </c>
      <c r="AP283" s="12" t="s">
        <v>1050</v>
      </c>
      <c r="AQ283" s="139"/>
      <c r="AR283" s="10" t="s">
        <v>127</v>
      </c>
      <c r="AS283" s="13">
        <v>8520</v>
      </c>
      <c r="AT283" s="13"/>
      <c r="AU283" s="13">
        <v>0</v>
      </c>
      <c r="AV283" s="13">
        <v>0</v>
      </c>
      <c r="AW283" s="13">
        <v>0</v>
      </c>
      <c r="AX283" s="13">
        <v>8520</v>
      </c>
      <c r="AY283" s="13">
        <v>358.89038191644977</v>
      </c>
      <c r="AZ283" s="13">
        <v>0</v>
      </c>
      <c r="BA283" s="13"/>
      <c r="BB283" s="13"/>
      <c r="BC283" s="13">
        <v>-8161.1096180835502</v>
      </c>
      <c r="BD283" s="13"/>
      <c r="BE283" s="13" t="s">
        <v>114</v>
      </c>
      <c r="BF283" s="29"/>
      <c r="BG283" s="13"/>
      <c r="BH283" s="13">
        <f>-FAR[[#This Row],[Carrying value (opening balance)]]/FAR[[#This Row],[Opening RUL 30 June 2026]]</f>
        <v>-355.9646451073483</v>
      </c>
      <c r="BI283" s="13">
        <f>FAR[[#This Row],[Depreciation YTD]]/12</f>
        <v>-29.663720425612357</v>
      </c>
      <c r="BJ283" s="13"/>
      <c r="BK283" s="13" t="s">
        <v>116</v>
      </c>
      <c r="BL283" s="13">
        <v>0</v>
      </c>
      <c r="BM283" s="13">
        <f>FAR[[#This Row],[Accumulated depreciation (Opening balance)]]+FAR[[#This Row],[Depreciation YTD]]+FAR[[#This Row],[Derecognitions (acc dep) '[+']]]</f>
        <v>-8517.0742631908979</v>
      </c>
      <c r="BN283" s="13"/>
      <c r="BO283" s="13"/>
      <c r="BP283" s="13"/>
      <c r="BQ283" s="13"/>
      <c r="BR28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83" s="13">
        <f>FAR[[#This Row],[Cost Price (closing balance)]]+FAR[[#This Row],[Accumulated depreciation (Closing balance)]]+FAR[[#This Row],[Accumulated impairments (Closing balance)]]</f>
        <v>2.9257368091020908</v>
      </c>
      <c r="BT283" s="13"/>
      <c r="BU283" s="13"/>
      <c r="BV283" s="13"/>
      <c r="BW283" s="10" t="s">
        <v>167</v>
      </c>
      <c r="BX283" s="9" t="s">
        <v>168</v>
      </c>
      <c r="BY283" s="10"/>
      <c r="BZ283" t="s">
        <v>1019</v>
      </c>
      <c r="CA283"/>
      <c r="CB283" s="34"/>
      <c r="CC283" s="34"/>
      <c r="CD283" s="34"/>
      <c r="CE283" s="141"/>
    </row>
    <row r="284" spans="1:83">
      <c r="A284" s="35">
        <v>1139</v>
      </c>
      <c r="B284" s="9" t="s">
        <v>875</v>
      </c>
      <c r="C284" s="9" t="s">
        <v>54</v>
      </c>
      <c r="D284" s="10" t="s">
        <v>1</v>
      </c>
      <c r="E284" s="9" t="s">
        <v>115</v>
      </c>
      <c r="F284" s="36" t="s">
        <v>99</v>
      </c>
      <c r="G284" s="9" t="s">
        <v>100</v>
      </c>
      <c r="H284" s="3" t="s">
        <v>128</v>
      </c>
      <c r="I284" s="9" t="s">
        <v>100</v>
      </c>
      <c r="J284" s="36" t="s">
        <v>101</v>
      </c>
      <c r="K284" s="10" t="s">
        <v>559</v>
      </c>
      <c r="L284" s="10" t="s">
        <v>559</v>
      </c>
      <c r="M284" s="9" t="s">
        <v>100</v>
      </c>
      <c r="N284" s="10" t="s">
        <v>549</v>
      </c>
      <c r="O284" s="9" t="s">
        <v>100</v>
      </c>
      <c r="P284" s="10"/>
      <c r="Q284" s="10" t="s">
        <v>549</v>
      </c>
      <c r="R284" s="10" t="s">
        <v>119</v>
      </c>
      <c r="S284" s="10" t="s">
        <v>130</v>
      </c>
      <c r="T284" s="10" t="s">
        <v>120</v>
      </c>
      <c r="U284" s="10" t="s">
        <v>101</v>
      </c>
      <c r="V284" s="10" t="s">
        <v>121</v>
      </c>
      <c r="W284" s="10" t="s">
        <v>122</v>
      </c>
      <c r="X284" s="10" t="s">
        <v>123</v>
      </c>
      <c r="Y284" s="29">
        <v>1</v>
      </c>
      <c r="Z284" s="138" t="s">
        <v>596</v>
      </c>
      <c r="AA284" s="138">
        <v>43285</v>
      </c>
      <c r="AB284" s="9" t="s">
        <v>114</v>
      </c>
      <c r="AC284" s="9" t="s">
        <v>124</v>
      </c>
      <c r="AD284" s="15">
        <v>44651</v>
      </c>
      <c r="AE284" s="39" t="s">
        <v>125</v>
      </c>
      <c r="AF284" s="177">
        <v>6</v>
      </c>
      <c r="AG284" s="140">
        <v>0</v>
      </c>
      <c r="AH284" s="9">
        <v>0</v>
      </c>
      <c r="AI284" s="10" t="s">
        <v>126</v>
      </c>
      <c r="AJ284" s="10"/>
      <c r="AK284" s="29"/>
      <c r="AL284" s="12">
        <v>1.0082191780821916</v>
      </c>
      <c r="AM284" s="10"/>
      <c r="AN284" s="12">
        <f>FAR[[#This Row],[Opening RUL]]+FAR[[#This Row],[RUL Adjustment]]</f>
        <v>1.0082191780821916</v>
      </c>
      <c r="AO284" s="12">
        <f>FAR[[#This Row],[Opening RUL 30 June 2026]]-1</f>
        <v>8.219178082191636E-3</v>
      </c>
      <c r="AP284" s="12" t="s">
        <v>1051</v>
      </c>
      <c r="AQ284" s="139"/>
      <c r="AR284" s="10" t="s">
        <v>127</v>
      </c>
      <c r="AS284" s="13">
        <v>8520</v>
      </c>
      <c r="AT284" s="13"/>
      <c r="AU284" s="13">
        <v>0</v>
      </c>
      <c r="AV284" s="13">
        <v>0</v>
      </c>
      <c r="AW284" s="13">
        <v>0</v>
      </c>
      <c r="AX284" s="13">
        <v>8520</v>
      </c>
      <c r="AY284" s="13">
        <v>358.89038191644977</v>
      </c>
      <c r="AZ284" s="13">
        <v>0</v>
      </c>
      <c r="BA284" s="13"/>
      <c r="BB284" s="13"/>
      <c r="BC284" s="13">
        <v>-8161.1096180835502</v>
      </c>
      <c r="BD284" s="13"/>
      <c r="BE284" s="13" t="s">
        <v>114</v>
      </c>
      <c r="BF284" s="29"/>
      <c r="BG284" s="13"/>
      <c r="BH284" s="13">
        <f>-FAR[[#This Row],[Carrying value (opening balance)]]/FAR[[#This Row],[Opening RUL 30 June 2026]]</f>
        <v>-355.9646451073483</v>
      </c>
      <c r="BI284" s="13">
        <f>FAR[[#This Row],[Depreciation YTD]]/12</f>
        <v>-29.663720425612357</v>
      </c>
      <c r="BJ284" s="13"/>
      <c r="BK284" s="13" t="s">
        <v>116</v>
      </c>
      <c r="BL284" s="13">
        <v>0</v>
      </c>
      <c r="BM284" s="13">
        <f>FAR[[#This Row],[Accumulated depreciation (Opening balance)]]+FAR[[#This Row],[Depreciation YTD]]+FAR[[#This Row],[Derecognitions (acc dep) '[+']]]</f>
        <v>-8517.0742631908979</v>
      </c>
      <c r="BN284" s="13"/>
      <c r="BO284" s="13"/>
      <c r="BP284" s="13"/>
      <c r="BQ284" s="13"/>
      <c r="BR28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84" s="13">
        <f>FAR[[#This Row],[Cost Price (closing balance)]]+FAR[[#This Row],[Accumulated depreciation (Closing balance)]]+FAR[[#This Row],[Accumulated impairments (Closing balance)]]</f>
        <v>2.9257368091020908</v>
      </c>
      <c r="BT284" s="13"/>
      <c r="BU284" s="13"/>
      <c r="BV284" s="13"/>
      <c r="BW284" s="10" t="s">
        <v>167</v>
      </c>
      <c r="BX284" s="9" t="s">
        <v>168</v>
      </c>
      <c r="BY284" s="10"/>
      <c r="BZ284" t="s">
        <v>1017</v>
      </c>
      <c r="CA284"/>
      <c r="CB284" s="34"/>
      <c r="CC284" s="34"/>
      <c r="CD284" s="34"/>
      <c r="CE284" s="141"/>
    </row>
    <row r="285" spans="1:83">
      <c r="A285" s="35">
        <v>1205</v>
      </c>
      <c r="B285" s="9" t="s">
        <v>856</v>
      </c>
      <c r="C285" s="9" t="s">
        <v>54</v>
      </c>
      <c r="D285" s="10" t="s">
        <v>1</v>
      </c>
      <c r="E285" s="9" t="s">
        <v>115</v>
      </c>
      <c r="F285" s="36" t="s">
        <v>99</v>
      </c>
      <c r="G285" s="9" t="s">
        <v>100</v>
      </c>
      <c r="H285" s="3" t="s">
        <v>128</v>
      </c>
      <c r="I285" s="9" t="s">
        <v>100</v>
      </c>
      <c r="J285" s="36" t="s">
        <v>101</v>
      </c>
      <c r="K285" s="10" t="s">
        <v>559</v>
      </c>
      <c r="L285" s="10" t="s">
        <v>559</v>
      </c>
      <c r="M285" s="9" t="s">
        <v>100</v>
      </c>
      <c r="N285" s="10" t="s">
        <v>550</v>
      </c>
      <c r="O285" s="9" t="s">
        <v>100</v>
      </c>
      <c r="P285" s="10"/>
      <c r="Q285" s="10" t="s">
        <v>550</v>
      </c>
      <c r="R285" s="10" t="s">
        <v>119</v>
      </c>
      <c r="S285" s="10" t="s">
        <v>130</v>
      </c>
      <c r="T285" s="10" t="s">
        <v>120</v>
      </c>
      <c r="U285" s="10" t="s">
        <v>101</v>
      </c>
      <c r="V285" s="10" t="s">
        <v>121</v>
      </c>
      <c r="W285" s="10" t="s">
        <v>122</v>
      </c>
      <c r="X285" s="10" t="s">
        <v>123</v>
      </c>
      <c r="Y285" s="29">
        <v>1</v>
      </c>
      <c r="Z285" s="138" t="s">
        <v>596</v>
      </c>
      <c r="AA285" s="138">
        <v>43285</v>
      </c>
      <c r="AB285" s="9" t="s">
        <v>114</v>
      </c>
      <c r="AC285" s="9" t="s">
        <v>124</v>
      </c>
      <c r="AD285" s="15">
        <v>44651</v>
      </c>
      <c r="AE285" s="39" t="s">
        <v>125</v>
      </c>
      <c r="AF285" s="177">
        <v>6</v>
      </c>
      <c r="AG285" s="140">
        <v>0</v>
      </c>
      <c r="AH285" s="9">
        <v>0</v>
      </c>
      <c r="AI285" s="10" t="s">
        <v>126</v>
      </c>
      <c r="AJ285" s="10"/>
      <c r="AK285" s="29"/>
      <c r="AL285" s="12">
        <v>1.0082191780821916</v>
      </c>
      <c r="AM285" s="10"/>
      <c r="AN285" s="12">
        <f>FAR[[#This Row],[Opening RUL]]+FAR[[#This Row],[RUL Adjustment]]</f>
        <v>1.0082191780821916</v>
      </c>
      <c r="AO285" s="12">
        <f>FAR[[#This Row],[Opening RUL 30 June 2026]]-1</f>
        <v>8.219178082191636E-3</v>
      </c>
      <c r="AP285" s="12" t="s">
        <v>1051</v>
      </c>
      <c r="AQ285" s="139"/>
      <c r="AR285" s="10" t="s">
        <v>127</v>
      </c>
      <c r="AS285" s="13">
        <v>3000</v>
      </c>
      <c r="AT285" s="13"/>
      <c r="AU285" s="13">
        <v>0</v>
      </c>
      <c r="AV285" s="13">
        <v>0</v>
      </c>
      <c r="AW285" s="13">
        <v>0</v>
      </c>
      <c r="AX285" s="13">
        <v>3000</v>
      </c>
      <c r="AY285" s="13">
        <v>126.36985278748261</v>
      </c>
      <c r="AZ285" s="13">
        <v>0</v>
      </c>
      <c r="BA285" s="13"/>
      <c r="BB285" s="13"/>
      <c r="BC285" s="13">
        <v>-2873.6301472125174</v>
      </c>
      <c r="BD285" s="13"/>
      <c r="BE285" s="13" t="s">
        <v>114</v>
      </c>
      <c r="BF285" s="29"/>
      <c r="BG285" s="13"/>
      <c r="BH285" s="13">
        <f>-FAR[[#This Row],[Carrying value (opening balance)]]/FAR[[#This Row],[Opening RUL 30 June 2026]]</f>
        <v>-125.33966377019337</v>
      </c>
      <c r="BI285" s="13">
        <f>FAR[[#This Row],[Depreciation YTD]]/12</f>
        <v>-10.444971980849447</v>
      </c>
      <c r="BJ285" s="13"/>
      <c r="BK285" s="13" t="s">
        <v>116</v>
      </c>
      <c r="BL285" s="13">
        <v>0</v>
      </c>
      <c r="BM285" s="13">
        <f>FAR[[#This Row],[Accumulated depreciation (Opening balance)]]+FAR[[#This Row],[Depreciation YTD]]+FAR[[#This Row],[Derecognitions (acc dep) '[+']]]</f>
        <v>-2998.9698109827109</v>
      </c>
      <c r="BN285" s="13"/>
      <c r="BO285" s="13"/>
      <c r="BP285" s="13"/>
      <c r="BQ285" s="13"/>
      <c r="BR28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85" s="13">
        <f>FAR[[#This Row],[Cost Price (closing balance)]]+FAR[[#This Row],[Accumulated depreciation (Closing balance)]]+FAR[[#This Row],[Accumulated impairments (Closing balance)]]</f>
        <v>1.0301890172891035</v>
      </c>
      <c r="BT285" s="13"/>
      <c r="BU285" s="13"/>
      <c r="BV285" s="13"/>
      <c r="BW285" s="10" t="s">
        <v>167</v>
      </c>
      <c r="BX285" s="9" t="s">
        <v>168</v>
      </c>
      <c r="BY285" s="10"/>
      <c r="BZ285" t="s">
        <v>940</v>
      </c>
      <c r="CA285"/>
      <c r="CB285" s="34"/>
      <c r="CC285" s="34"/>
      <c r="CD285" s="34"/>
      <c r="CE285" s="141"/>
    </row>
    <row r="286" spans="1:83">
      <c r="A286" s="35">
        <v>1207</v>
      </c>
      <c r="B286" s="9" t="s">
        <v>855</v>
      </c>
      <c r="C286" s="9" t="s">
        <v>54</v>
      </c>
      <c r="D286" s="10" t="s">
        <v>1</v>
      </c>
      <c r="E286" s="9" t="s">
        <v>115</v>
      </c>
      <c r="F286" s="36" t="s">
        <v>99</v>
      </c>
      <c r="G286" s="9" t="s">
        <v>100</v>
      </c>
      <c r="H286" s="3" t="s">
        <v>128</v>
      </c>
      <c r="I286" s="9" t="s">
        <v>100</v>
      </c>
      <c r="J286" s="36" t="s">
        <v>101</v>
      </c>
      <c r="K286" s="10" t="s">
        <v>559</v>
      </c>
      <c r="L286" s="10" t="s">
        <v>559</v>
      </c>
      <c r="M286" s="9" t="s">
        <v>100</v>
      </c>
      <c r="N286" s="10" t="s">
        <v>550</v>
      </c>
      <c r="O286" s="9" t="s">
        <v>100</v>
      </c>
      <c r="P286" s="10"/>
      <c r="Q286" s="10" t="s">
        <v>550</v>
      </c>
      <c r="R286" s="10" t="s">
        <v>119</v>
      </c>
      <c r="S286" s="10" t="s">
        <v>130</v>
      </c>
      <c r="T286" s="10" t="s">
        <v>120</v>
      </c>
      <c r="U286" s="10" t="s">
        <v>101</v>
      </c>
      <c r="V286" s="10" t="s">
        <v>121</v>
      </c>
      <c r="W286" s="10" t="s">
        <v>122</v>
      </c>
      <c r="X286" s="10" t="s">
        <v>123</v>
      </c>
      <c r="Y286" s="29">
        <v>1</v>
      </c>
      <c r="Z286" s="138" t="s">
        <v>596</v>
      </c>
      <c r="AA286" s="138">
        <v>43285</v>
      </c>
      <c r="AB286" s="9" t="s">
        <v>114</v>
      </c>
      <c r="AC286" s="9" t="s">
        <v>124</v>
      </c>
      <c r="AD286" s="15">
        <v>44651</v>
      </c>
      <c r="AE286" s="39" t="s">
        <v>125</v>
      </c>
      <c r="AF286" s="177">
        <v>6</v>
      </c>
      <c r="AG286" s="140">
        <v>0</v>
      </c>
      <c r="AH286" s="9">
        <v>0</v>
      </c>
      <c r="AI286" s="10" t="s">
        <v>126</v>
      </c>
      <c r="AJ286" s="10"/>
      <c r="AK286" s="29"/>
      <c r="AL286" s="12">
        <v>1.0082191780821916</v>
      </c>
      <c r="AM286" s="10"/>
      <c r="AN286" s="12">
        <f>FAR[[#This Row],[Opening RUL]]+FAR[[#This Row],[RUL Adjustment]]</f>
        <v>1.0082191780821916</v>
      </c>
      <c r="AO286" s="12">
        <f>FAR[[#This Row],[Opening RUL 30 June 2026]]-1</f>
        <v>8.219178082191636E-3</v>
      </c>
      <c r="AP286" s="12" t="s">
        <v>1051</v>
      </c>
      <c r="AQ286" s="139"/>
      <c r="AR286" s="10" t="s">
        <v>127</v>
      </c>
      <c r="AS286" s="13">
        <v>3000</v>
      </c>
      <c r="AT286" s="13"/>
      <c r="AU286" s="13">
        <v>0</v>
      </c>
      <c r="AV286" s="13">
        <v>0</v>
      </c>
      <c r="AW286" s="13">
        <v>0</v>
      </c>
      <c r="AX286" s="13">
        <v>3000</v>
      </c>
      <c r="AY286" s="13">
        <v>126.36985278748261</v>
      </c>
      <c r="AZ286" s="13">
        <v>0</v>
      </c>
      <c r="BA286" s="13"/>
      <c r="BB286" s="13"/>
      <c r="BC286" s="13">
        <v>-2873.6301472125174</v>
      </c>
      <c r="BD286" s="13"/>
      <c r="BE286" s="13" t="s">
        <v>114</v>
      </c>
      <c r="BF286" s="29"/>
      <c r="BG286" s="13"/>
      <c r="BH286" s="13">
        <f>-FAR[[#This Row],[Carrying value (opening balance)]]/FAR[[#This Row],[Opening RUL 30 June 2026]]</f>
        <v>-125.33966377019337</v>
      </c>
      <c r="BI286" s="13">
        <f>FAR[[#This Row],[Depreciation YTD]]/12</f>
        <v>-10.444971980849447</v>
      </c>
      <c r="BJ286" s="13"/>
      <c r="BK286" s="13" t="s">
        <v>116</v>
      </c>
      <c r="BL286" s="13">
        <v>0</v>
      </c>
      <c r="BM286" s="13">
        <f>FAR[[#This Row],[Accumulated depreciation (Opening balance)]]+FAR[[#This Row],[Depreciation YTD]]+FAR[[#This Row],[Derecognitions (acc dep) '[+']]]</f>
        <v>-2998.9698109827109</v>
      </c>
      <c r="BN286" s="13"/>
      <c r="BO286" s="13"/>
      <c r="BP286" s="13"/>
      <c r="BQ286" s="13"/>
      <c r="BR28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86" s="13">
        <f>FAR[[#This Row],[Cost Price (closing balance)]]+FAR[[#This Row],[Accumulated depreciation (Closing balance)]]+FAR[[#This Row],[Accumulated impairments (Closing balance)]]</f>
        <v>1.0301890172891035</v>
      </c>
      <c r="BT286" s="13"/>
      <c r="BU286" s="13"/>
      <c r="BV286" s="13"/>
      <c r="BW286" s="10" t="s">
        <v>167</v>
      </c>
      <c r="BX286" s="9" t="s">
        <v>168</v>
      </c>
      <c r="BY286" s="10"/>
      <c r="BZ286" t="s">
        <v>941</v>
      </c>
      <c r="CA286"/>
      <c r="CB286" s="34"/>
      <c r="CC286" s="34"/>
      <c r="CD286" s="34"/>
      <c r="CE286" s="141"/>
    </row>
    <row r="287" spans="1:83">
      <c r="A287" s="35">
        <v>1208</v>
      </c>
      <c r="B287" s="9" t="s">
        <v>856</v>
      </c>
      <c r="C287" s="9" t="s">
        <v>54</v>
      </c>
      <c r="D287" s="10" t="s">
        <v>1</v>
      </c>
      <c r="E287" s="9" t="s">
        <v>115</v>
      </c>
      <c r="F287" s="36" t="s">
        <v>99</v>
      </c>
      <c r="G287" s="9" t="s">
        <v>100</v>
      </c>
      <c r="H287" s="3" t="s">
        <v>128</v>
      </c>
      <c r="I287" s="9" t="s">
        <v>100</v>
      </c>
      <c r="J287" s="36" t="s">
        <v>101</v>
      </c>
      <c r="K287" s="10" t="s">
        <v>559</v>
      </c>
      <c r="L287" s="10" t="s">
        <v>559</v>
      </c>
      <c r="M287" s="9" t="s">
        <v>100</v>
      </c>
      <c r="N287" s="10" t="s">
        <v>550</v>
      </c>
      <c r="O287" s="9" t="s">
        <v>100</v>
      </c>
      <c r="P287" s="10"/>
      <c r="Q287" s="10" t="s">
        <v>550</v>
      </c>
      <c r="R287" s="10" t="s">
        <v>119</v>
      </c>
      <c r="S287" s="10" t="s">
        <v>130</v>
      </c>
      <c r="T287" s="10" t="s">
        <v>120</v>
      </c>
      <c r="U287" s="10" t="s">
        <v>101</v>
      </c>
      <c r="V287" s="10" t="s">
        <v>121</v>
      </c>
      <c r="W287" s="10" t="s">
        <v>122</v>
      </c>
      <c r="X287" s="10" t="s">
        <v>123</v>
      </c>
      <c r="Y287" s="29">
        <v>1</v>
      </c>
      <c r="Z287" s="138" t="s">
        <v>596</v>
      </c>
      <c r="AA287" s="138">
        <v>43285</v>
      </c>
      <c r="AB287" s="9" t="s">
        <v>114</v>
      </c>
      <c r="AC287" s="9" t="s">
        <v>124</v>
      </c>
      <c r="AD287" s="15">
        <v>44651</v>
      </c>
      <c r="AE287" s="39" t="s">
        <v>125</v>
      </c>
      <c r="AF287" s="177">
        <v>6</v>
      </c>
      <c r="AG287" s="140">
        <v>0</v>
      </c>
      <c r="AH287" s="9">
        <v>0</v>
      </c>
      <c r="AI287" s="10" t="s">
        <v>126</v>
      </c>
      <c r="AJ287" s="10"/>
      <c r="AK287" s="29"/>
      <c r="AL287" s="12">
        <v>1.0082191780821916</v>
      </c>
      <c r="AM287" s="10"/>
      <c r="AN287" s="12">
        <f>FAR[[#This Row],[Opening RUL]]+FAR[[#This Row],[RUL Adjustment]]</f>
        <v>1.0082191780821916</v>
      </c>
      <c r="AO287" s="12">
        <f>FAR[[#This Row],[Opening RUL 30 June 2026]]-1</f>
        <v>8.219178082191636E-3</v>
      </c>
      <c r="AP287" s="12" t="s">
        <v>1051</v>
      </c>
      <c r="AQ287" s="139"/>
      <c r="AR287" s="10" t="s">
        <v>127</v>
      </c>
      <c r="AS287" s="13">
        <v>3000</v>
      </c>
      <c r="AT287" s="13"/>
      <c r="AU287" s="13">
        <v>0</v>
      </c>
      <c r="AV287" s="13">
        <v>0</v>
      </c>
      <c r="AW287" s="13">
        <v>0</v>
      </c>
      <c r="AX287" s="13">
        <v>3000</v>
      </c>
      <c r="AY287" s="13">
        <v>126.36985278748261</v>
      </c>
      <c r="AZ287" s="13">
        <v>0</v>
      </c>
      <c r="BA287" s="13"/>
      <c r="BB287" s="13"/>
      <c r="BC287" s="13">
        <v>-2873.6301472125174</v>
      </c>
      <c r="BD287" s="13"/>
      <c r="BE287" s="13" t="s">
        <v>114</v>
      </c>
      <c r="BF287" s="29"/>
      <c r="BG287" s="13"/>
      <c r="BH287" s="13">
        <f>-FAR[[#This Row],[Carrying value (opening balance)]]/FAR[[#This Row],[Opening RUL 30 June 2026]]</f>
        <v>-125.33966377019337</v>
      </c>
      <c r="BI287" s="13">
        <f>FAR[[#This Row],[Depreciation YTD]]/12</f>
        <v>-10.444971980849447</v>
      </c>
      <c r="BJ287" s="13"/>
      <c r="BK287" s="13" t="s">
        <v>116</v>
      </c>
      <c r="BL287" s="13">
        <v>0</v>
      </c>
      <c r="BM287" s="13">
        <f>FAR[[#This Row],[Accumulated depreciation (Opening balance)]]+FAR[[#This Row],[Depreciation YTD]]+FAR[[#This Row],[Derecognitions (acc dep) '[+']]]</f>
        <v>-2998.9698109827109</v>
      </c>
      <c r="BN287" s="13"/>
      <c r="BO287" s="13"/>
      <c r="BP287" s="13"/>
      <c r="BQ287" s="13"/>
      <c r="BR28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87" s="13">
        <f>FAR[[#This Row],[Cost Price (closing balance)]]+FAR[[#This Row],[Accumulated depreciation (Closing balance)]]+FAR[[#This Row],[Accumulated impairments (Closing balance)]]</f>
        <v>1.0301890172891035</v>
      </c>
      <c r="BT287" s="13"/>
      <c r="BU287" s="13"/>
      <c r="BV287" s="13"/>
      <c r="BW287" s="10" t="s">
        <v>167</v>
      </c>
      <c r="BX287" s="9" t="s">
        <v>168</v>
      </c>
      <c r="BY287" s="10"/>
      <c r="BZ287" t="s">
        <v>940</v>
      </c>
      <c r="CA287"/>
      <c r="CB287" s="34"/>
      <c r="CC287" s="34"/>
      <c r="CD287" s="34"/>
      <c r="CE287" s="141"/>
    </row>
    <row r="288" spans="1:83">
      <c r="A288" s="35">
        <v>1212</v>
      </c>
      <c r="B288" s="9" t="s">
        <v>856</v>
      </c>
      <c r="C288" s="9" t="s">
        <v>54</v>
      </c>
      <c r="D288" s="10" t="s">
        <v>1</v>
      </c>
      <c r="E288" s="9" t="s">
        <v>115</v>
      </c>
      <c r="F288" s="36" t="s">
        <v>99</v>
      </c>
      <c r="G288" s="9" t="s">
        <v>100</v>
      </c>
      <c r="H288" s="3" t="s">
        <v>128</v>
      </c>
      <c r="I288" s="9" t="s">
        <v>100</v>
      </c>
      <c r="J288" s="36" t="s">
        <v>101</v>
      </c>
      <c r="K288" s="10" t="s">
        <v>559</v>
      </c>
      <c r="L288" s="10" t="s">
        <v>559</v>
      </c>
      <c r="M288" s="9" t="s">
        <v>100</v>
      </c>
      <c r="N288" s="10" t="s">
        <v>550</v>
      </c>
      <c r="O288" s="9" t="s">
        <v>100</v>
      </c>
      <c r="P288" s="10"/>
      <c r="Q288" s="10" t="s">
        <v>550</v>
      </c>
      <c r="R288" s="10" t="s">
        <v>119</v>
      </c>
      <c r="S288" s="10" t="s">
        <v>130</v>
      </c>
      <c r="T288" s="10" t="s">
        <v>120</v>
      </c>
      <c r="U288" s="10" t="s">
        <v>101</v>
      </c>
      <c r="V288" s="10" t="s">
        <v>121</v>
      </c>
      <c r="W288" s="10" t="s">
        <v>122</v>
      </c>
      <c r="X288" s="10" t="s">
        <v>123</v>
      </c>
      <c r="Y288" s="29">
        <v>1</v>
      </c>
      <c r="Z288" s="138" t="s">
        <v>596</v>
      </c>
      <c r="AA288" s="138">
        <v>43285</v>
      </c>
      <c r="AB288" s="9" t="s">
        <v>114</v>
      </c>
      <c r="AC288" s="9" t="s">
        <v>124</v>
      </c>
      <c r="AD288" s="15">
        <v>44651</v>
      </c>
      <c r="AE288" s="39" t="s">
        <v>125</v>
      </c>
      <c r="AF288" s="177">
        <v>6</v>
      </c>
      <c r="AG288" s="140">
        <v>0</v>
      </c>
      <c r="AH288" s="9">
        <v>0</v>
      </c>
      <c r="AI288" s="10" t="s">
        <v>126</v>
      </c>
      <c r="AJ288" s="10"/>
      <c r="AK288" s="29"/>
      <c r="AL288" s="12">
        <v>1.0082191780821916</v>
      </c>
      <c r="AM288" s="10"/>
      <c r="AN288" s="12">
        <f>FAR[[#This Row],[Opening RUL]]+FAR[[#This Row],[RUL Adjustment]]</f>
        <v>1.0082191780821916</v>
      </c>
      <c r="AO288" s="12">
        <f>FAR[[#This Row],[Opening RUL 30 June 2026]]-1</f>
        <v>8.219178082191636E-3</v>
      </c>
      <c r="AP288" s="12" t="s">
        <v>1051</v>
      </c>
      <c r="AQ288" s="139"/>
      <c r="AR288" s="10" t="s">
        <v>127</v>
      </c>
      <c r="AS288" s="13">
        <v>3000</v>
      </c>
      <c r="AT288" s="13"/>
      <c r="AU288" s="13">
        <v>0</v>
      </c>
      <c r="AV288" s="13">
        <v>0</v>
      </c>
      <c r="AW288" s="13">
        <v>0</v>
      </c>
      <c r="AX288" s="13">
        <v>3000</v>
      </c>
      <c r="AY288" s="13">
        <v>126.36985278748261</v>
      </c>
      <c r="AZ288" s="13">
        <v>0</v>
      </c>
      <c r="BA288" s="13"/>
      <c r="BB288" s="13"/>
      <c r="BC288" s="13">
        <v>-2873.6301472125174</v>
      </c>
      <c r="BD288" s="13"/>
      <c r="BE288" s="13" t="s">
        <v>114</v>
      </c>
      <c r="BF288" s="29"/>
      <c r="BG288" s="13"/>
      <c r="BH288" s="13">
        <f>-FAR[[#This Row],[Carrying value (opening balance)]]/FAR[[#This Row],[Opening RUL 30 June 2026]]</f>
        <v>-125.33966377019337</v>
      </c>
      <c r="BI288" s="13">
        <f>FAR[[#This Row],[Depreciation YTD]]/12</f>
        <v>-10.444971980849447</v>
      </c>
      <c r="BJ288" s="13"/>
      <c r="BK288" s="13" t="s">
        <v>116</v>
      </c>
      <c r="BL288" s="13">
        <v>0</v>
      </c>
      <c r="BM288" s="13">
        <f>FAR[[#This Row],[Accumulated depreciation (Opening balance)]]+FAR[[#This Row],[Depreciation YTD]]+FAR[[#This Row],[Derecognitions (acc dep) '[+']]]</f>
        <v>-2998.9698109827109</v>
      </c>
      <c r="BN288" s="13"/>
      <c r="BO288" s="13"/>
      <c r="BP288" s="13"/>
      <c r="BQ288" s="13"/>
      <c r="BR28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88" s="13">
        <f>FAR[[#This Row],[Cost Price (closing balance)]]+FAR[[#This Row],[Accumulated depreciation (Closing balance)]]+FAR[[#This Row],[Accumulated impairments (Closing balance)]]</f>
        <v>1.0301890172891035</v>
      </c>
      <c r="BT288" s="13"/>
      <c r="BU288" s="13"/>
      <c r="BV288" s="13"/>
      <c r="BW288" s="10" t="s">
        <v>167</v>
      </c>
      <c r="BX288" s="9" t="s">
        <v>168</v>
      </c>
      <c r="BY288" s="10"/>
      <c r="BZ288" t="s">
        <v>940</v>
      </c>
      <c r="CA288"/>
      <c r="CB288" s="34"/>
      <c r="CC288" s="34"/>
      <c r="CD288" s="34"/>
      <c r="CE288" s="141"/>
    </row>
    <row r="289" spans="1:83">
      <c r="A289" s="35">
        <v>1213</v>
      </c>
      <c r="B289" s="9" t="s">
        <v>929</v>
      </c>
      <c r="C289" s="9" t="s">
        <v>54</v>
      </c>
      <c r="D289" s="10" t="s">
        <v>1</v>
      </c>
      <c r="E289" s="9" t="s">
        <v>115</v>
      </c>
      <c r="F289" s="36" t="s">
        <v>99</v>
      </c>
      <c r="G289" s="9" t="s">
        <v>100</v>
      </c>
      <c r="H289" s="3" t="s">
        <v>128</v>
      </c>
      <c r="I289" s="9" t="s">
        <v>100</v>
      </c>
      <c r="J289" s="36" t="s">
        <v>101</v>
      </c>
      <c r="K289" s="10" t="s">
        <v>559</v>
      </c>
      <c r="L289" s="10" t="s">
        <v>559</v>
      </c>
      <c r="M289" s="9" t="s">
        <v>100</v>
      </c>
      <c r="N289" s="10" t="s">
        <v>550</v>
      </c>
      <c r="O289" s="9" t="s">
        <v>100</v>
      </c>
      <c r="P289" s="10"/>
      <c r="Q289" s="10" t="s">
        <v>550</v>
      </c>
      <c r="R289" s="10" t="s">
        <v>119</v>
      </c>
      <c r="S289" s="10" t="s">
        <v>130</v>
      </c>
      <c r="T289" s="10" t="s">
        <v>120</v>
      </c>
      <c r="U289" s="10" t="s">
        <v>101</v>
      </c>
      <c r="V289" s="10" t="s">
        <v>121</v>
      </c>
      <c r="W289" s="10" t="s">
        <v>122</v>
      </c>
      <c r="X289" s="10" t="s">
        <v>123</v>
      </c>
      <c r="Y289" s="29">
        <v>1</v>
      </c>
      <c r="Z289" s="138" t="s">
        <v>596</v>
      </c>
      <c r="AA289" s="138">
        <v>43285</v>
      </c>
      <c r="AB289" s="9" t="s">
        <v>114</v>
      </c>
      <c r="AC289" s="9" t="s">
        <v>124</v>
      </c>
      <c r="AD289" s="15">
        <v>44651</v>
      </c>
      <c r="AE289" s="39" t="s">
        <v>125</v>
      </c>
      <c r="AF289" s="177">
        <v>6</v>
      </c>
      <c r="AG289" s="140">
        <v>0</v>
      </c>
      <c r="AH289" s="9">
        <v>0</v>
      </c>
      <c r="AI289" s="10" t="s">
        <v>126</v>
      </c>
      <c r="AJ289" s="10"/>
      <c r="AK289" s="29"/>
      <c r="AL289" s="12">
        <v>1.0082191780821916</v>
      </c>
      <c r="AM289" s="10"/>
      <c r="AN289" s="12">
        <f>FAR[[#This Row],[Opening RUL]]+FAR[[#This Row],[RUL Adjustment]]</f>
        <v>1.0082191780821916</v>
      </c>
      <c r="AO289" s="12">
        <f>FAR[[#This Row],[Opening RUL 30 June 2026]]-1</f>
        <v>8.219178082191636E-3</v>
      </c>
      <c r="AP289" s="12" t="s">
        <v>1050</v>
      </c>
      <c r="AQ289" s="139"/>
      <c r="AR289" s="10" t="s">
        <v>127</v>
      </c>
      <c r="AS289" s="13">
        <v>3000</v>
      </c>
      <c r="AT289" s="13"/>
      <c r="AU289" s="13">
        <v>0</v>
      </c>
      <c r="AV289" s="13">
        <v>0</v>
      </c>
      <c r="AW289" s="13">
        <v>0</v>
      </c>
      <c r="AX289" s="13">
        <v>3000</v>
      </c>
      <c r="AY289" s="13">
        <v>126.36985278748261</v>
      </c>
      <c r="AZ289" s="13">
        <v>0</v>
      </c>
      <c r="BA289" s="13"/>
      <c r="BB289" s="13"/>
      <c r="BC289" s="13">
        <v>-2873.6301472125174</v>
      </c>
      <c r="BD289" s="13"/>
      <c r="BE289" s="13" t="s">
        <v>114</v>
      </c>
      <c r="BF289" s="29"/>
      <c r="BG289" s="13"/>
      <c r="BH289" s="13">
        <f>-FAR[[#This Row],[Carrying value (opening balance)]]/FAR[[#This Row],[Opening RUL 30 June 2026]]</f>
        <v>-125.33966377019337</v>
      </c>
      <c r="BI289" s="13">
        <f>FAR[[#This Row],[Depreciation YTD]]/12</f>
        <v>-10.444971980849447</v>
      </c>
      <c r="BJ289" s="13"/>
      <c r="BK289" s="13" t="s">
        <v>116</v>
      </c>
      <c r="BL289" s="13">
        <v>0</v>
      </c>
      <c r="BM289" s="13">
        <f>FAR[[#This Row],[Accumulated depreciation (Opening balance)]]+FAR[[#This Row],[Depreciation YTD]]+FAR[[#This Row],[Derecognitions (acc dep) '[+']]]</f>
        <v>-2998.9698109827109</v>
      </c>
      <c r="BN289" s="13"/>
      <c r="BO289" s="13"/>
      <c r="BP289" s="13"/>
      <c r="BQ289" s="13"/>
      <c r="BR28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89" s="13">
        <f>FAR[[#This Row],[Cost Price (closing balance)]]+FAR[[#This Row],[Accumulated depreciation (Closing balance)]]+FAR[[#This Row],[Accumulated impairments (Closing balance)]]</f>
        <v>1.0301890172891035</v>
      </c>
      <c r="BT289" s="13"/>
      <c r="BU289" s="13"/>
      <c r="BV289" s="13"/>
      <c r="BW289" s="10" t="s">
        <v>167</v>
      </c>
      <c r="BX289" s="9" t="s">
        <v>168</v>
      </c>
      <c r="BY289" s="10"/>
      <c r="BZ289" t="s">
        <v>938</v>
      </c>
      <c r="CA289"/>
      <c r="CB289" s="34"/>
      <c r="CC289" s="34"/>
      <c r="CD289" s="34"/>
      <c r="CE289" s="141"/>
    </row>
    <row r="290" spans="1:83">
      <c r="A290" s="35">
        <v>1214</v>
      </c>
      <c r="B290" s="9" t="s">
        <v>856</v>
      </c>
      <c r="C290" s="9" t="s">
        <v>54</v>
      </c>
      <c r="D290" s="10" t="s">
        <v>1</v>
      </c>
      <c r="E290" s="9" t="s">
        <v>115</v>
      </c>
      <c r="F290" s="36" t="s">
        <v>99</v>
      </c>
      <c r="G290" s="9" t="s">
        <v>100</v>
      </c>
      <c r="H290" s="3" t="s">
        <v>128</v>
      </c>
      <c r="I290" s="9" t="s">
        <v>100</v>
      </c>
      <c r="J290" s="36" t="s">
        <v>101</v>
      </c>
      <c r="K290" s="10" t="s">
        <v>559</v>
      </c>
      <c r="L290" s="10" t="s">
        <v>559</v>
      </c>
      <c r="M290" s="9" t="s">
        <v>100</v>
      </c>
      <c r="N290" s="10" t="s">
        <v>550</v>
      </c>
      <c r="O290" s="9" t="s">
        <v>100</v>
      </c>
      <c r="P290" s="10"/>
      <c r="Q290" s="10" t="s">
        <v>550</v>
      </c>
      <c r="R290" s="10" t="s">
        <v>119</v>
      </c>
      <c r="S290" s="10" t="s">
        <v>130</v>
      </c>
      <c r="T290" s="10" t="s">
        <v>120</v>
      </c>
      <c r="U290" s="10" t="s">
        <v>101</v>
      </c>
      <c r="V290" s="10" t="s">
        <v>121</v>
      </c>
      <c r="W290" s="10" t="s">
        <v>122</v>
      </c>
      <c r="X290" s="10" t="s">
        <v>123</v>
      </c>
      <c r="Y290" s="29">
        <v>1</v>
      </c>
      <c r="Z290" s="138" t="s">
        <v>596</v>
      </c>
      <c r="AA290" s="138">
        <v>43285</v>
      </c>
      <c r="AB290" s="9" t="s">
        <v>114</v>
      </c>
      <c r="AC290" s="9" t="s">
        <v>124</v>
      </c>
      <c r="AD290" s="15">
        <v>44651</v>
      </c>
      <c r="AE290" s="39" t="s">
        <v>125</v>
      </c>
      <c r="AF290" s="177">
        <v>6</v>
      </c>
      <c r="AG290" s="140">
        <v>0</v>
      </c>
      <c r="AH290" s="9">
        <v>0</v>
      </c>
      <c r="AI290" s="10" t="s">
        <v>126</v>
      </c>
      <c r="AJ290" s="10"/>
      <c r="AK290" s="29"/>
      <c r="AL290" s="12">
        <v>1.0082191780821916</v>
      </c>
      <c r="AM290" s="10"/>
      <c r="AN290" s="12">
        <f>FAR[[#This Row],[Opening RUL]]+FAR[[#This Row],[RUL Adjustment]]</f>
        <v>1.0082191780821916</v>
      </c>
      <c r="AO290" s="12">
        <f>FAR[[#This Row],[Opening RUL 30 June 2026]]-1</f>
        <v>8.219178082191636E-3</v>
      </c>
      <c r="AP290" s="12" t="s">
        <v>1051</v>
      </c>
      <c r="AQ290" s="139"/>
      <c r="AR290" s="10" t="s">
        <v>127</v>
      </c>
      <c r="AS290" s="13">
        <v>3000</v>
      </c>
      <c r="AT290" s="13"/>
      <c r="AU290" s="13">
        <v>0</v>
      </c>
      <c r="AV290" s="13">
        <v>0</v>
      </c>
      <c r="AW290" s="13">
        <v>0</v>
      </c>
      <c r="AX290" s="13">
        <v>3000</v>
      </c>
      <c r="AY290" s="13">
        <v>126.36985278748261</v>
      </c>
      <c r="AZ290" s="13">
        <v>0</v>
      </c>
      <c r="BA290" s="13"/>
      <c r="BB290" s="13"/>
      <c r="BC290" s="13">
        <v>-2873.6301472125174</v>
      </c>
      <c r="BD290" s="13"/>
      <c r="BE290" s="13" t="s">
        <v>114</v>
      </c>
      <c r="BF290" s="29"/>
      <c r="BG290" s="13"/>
      <c r="BH290" s="13">
        <f>-FAR[[#This Row],[Carrying value (opening balance)]]/FAR[[#This Row],[Opening RUL 30 June 2026]]</f>
        <v>-125.33966377019337</v>
      </c>
      <c r="BI290" s="13">
        <f>FAR[[#This Row],[Depreciation YTD]]/12</f>
        <v>-10.444971980849447</v>
      </c>
      <c r="BJ290" s="13"/>
      <c r="BK290" s="13" t="s">
        <v>116</v>
      </c>
      <c r="BL290" s="13">
        <v>0</v>
      </c>
      <c r="BM290" s="13">
        <f>FAR[[#This Row],[Accumulated depreciation (Opening balance)]]+FAR[[#This Row],[Depreciation YTD]]+FAR[[#This Row],[Derecognitions (acc dep) '[+']]]</f>
        <v>-2998.9698109827109</v>
      </c>
      <c r="BN290" s="13"/>
      <c r="BO290" s="13"/>
      <c r="BP290" s="13"/>
      <c r="BQ290" s="13"/>
      <c r="BR29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90" s="13">
        <f>FAR[[#This Row],[Cost Price (closing balance)]]+FAR[[#This Row],[Accumulated depreciation (Closing balance)]]+FAR[[#This Row],[Accumulated impairments (Closing balance)]]</f>
        <v>1.0301890172891035</v>
      </c>
      <c r="BT290" s="13"/>
      <c r="BU290" s="13"/>
      <c r="BV290" s="13"/>
      <c r="BW290" s="10" t="s">
        <v>167</v>
      </c>
      <c r="BX290" s="9" t="s">
        <v>168</v>
      </c>
      <c r="BY290" s="10"/>
      <c r="BZ290" t="s">
        <v>940</v>
      </c>
      <c r="CA290"/>
      <c r="CB290" s="34"/>
      <c r="CC290" s="34"/>
      <c r="CD290" s="34"/>
      <c r="CE290" s="141"/>
    </row>
    <row r="291" spans="1:83">
      <c r="A291" s="35">
        <v>1216</v>
      </c>
      <c r="B291" s="9" t="s">
        <v>895</v>
      </c>
      <c r="C291" s="9" t="s">
        <v>54</v>
      </c>
      <c r="D291" s="10" t="s">
        <v>1</v>
      </c>
      <c r="E291" s="9" t="s">
        <v>115</v>
      </c>
      <c r="F291" s="36" t="s">
        <v>99</v>
      </c>
      <c r="G291" s="9" t="s">
        <v>100</v>
      </c>
      <c r="H291" s="3" t="s">
        <v>128</v>
      </c>
      <c r="I291" s="9" t="s">
        <v>100</v>
      </c>
      <c r="J291" s="36" t="s">
        <v>101</v>
      </c>
      <c r="K291" s="10" t="s">
        <v>559</v>
      </c>
      <c r="L291" s="10" t="s">
        <v>559</v>
      </c>
      <c r="M291" s="9" t="s">
        <v>100</v>
      </c>
      <c r="N291" s="10" t="s">
        <v>550</v>
      </c>
      <c r="O291" s="9" t="s">
        <v>100</v>
      </c>
      <c r="P291" s="10"/>
      <c r="Q291" s="10" t="s">
        <v>550</v>
      </c>
      <c r="R291" s="10" t="s">
        <v>119</v>
      </c>
      <c r="S291" s="10" t="s">
        <v>130</v>
      </c>
      <c r="T291" s="10" t="s">
        <v>120</v>
      </c>
      <c r="U291" s="10" t="s">
        <v>101</v>
      </c>
      <c r="V291" s="10" t="s">
        <v>121</v>
      </c>
      <c r="W291" s="10" t="s">
        <v>122</v>
      </c>
      <c r="X291" s="10" t="s">
        <v>123</v>
      </c>
      <c r="Y291" s="29">
        <v>1</v>
      </c>
      <c r="Z291" s="138" t="s">
        <v>596</v>
      </c>
      <c r="AA291" s="138">
        <v>43285</v>
      </c>
      <c r="AB291" s="9" t="s">
        <v>114</v>
      </c>
      <c r="AC291" s="9" t="s">
        <v>124</v>
      </c>
      <c r="AD291" s="15">
        <v>44651</v>
      </c>
      <c r="AE291" s="39" t="s">
        <v>125</v>
      </c>
      <c r="AF291" s="177">
        <v>6</v>
      </c>
      <c r="AG291" s="140">
        <v>0</v>
      </c>
      <c r="AH291" s="9">
        <v>0</v>
      </c>
      <c r="AI291" s="10" t="s">
        <v>126</v>
      </c>
      <c r="AJ291" s="10"/>
      <c r="AK291" s="29"/>
      <c r="AL291" s="12">
        <v>1.0082191780821916</v>
      </c>
      <c r="AM291" s="10"/>
      <c r="AN291" s="12">
        <f>FAR[[#This Row],[Opening RUL]]+FAR[[#This Row],[RUL Adjustment]]</f>
        <v>1.0082191780821916</v>
      </c>
      <c r="AO291" s="12">
        <f>FAR[[#This Row],[Opening RUL 30 June 2026]]-1</f>
        <v>8.219178082191636E-3</v>
      </c>
      <c r="AP291" s="12" t="s">
        <v>1051</v>
      </c>
      <c r="AQ291" s="139"/>
      <c r="AR291" s="10" t="s">
        <v>127</v>
      </c>
      <c r="AS291" s="13">
        <v>3000</v>
      </c>
      <c r="AT291" s="13"/>
      <c r="AU291" s="13">
        <v>0</v>
      </c>
      <c r="AV291" s="13">
        <v>0</v>
      </c>
      <c r="AW291" s="13">
        <v>0</v>
      </c>
      <c r="AX291" s="13">
        <v>3000</v>
      </c>
      <c r="AY291" s="13">
        <v>126.36985278748261</v>
      </c>
      <c r="AZ291" s="13">
        <v>0</v>
      </c>
      <c r="BA291" s="13"/>
      <c r="BB291" s="13"/>
      <c r="BC291" s="13">
        <v>-2873.6301472125174</v>
      </c>
      <c r="BD291" s="13"/>
      <c r="BE291" s="13" t="s">
        <v>114</v>
      </c>
      <c r="BF291" s="29"/>
      <c r="BG291" s="13"/>
      <c r="BH291" s="13">
        <f>-FAR[[#This Row],[Carrying value (opening balance)]]/FAR[[#This Row],[Opening RUL 30 June 2026]]</f>
        <v>-125.33966377019337</v>
      </c>
      <c r="BI291" s="13">
        <f>FAR[[#This Row],[Depreciation YTD]]/12</f>
        <v>-10.444971980849447</v>
      </c>
      <c r="BJ291" s="13"/>
      <c r="BK291" s="13" t="s">
        <v>116</v>
      </c>
      <c r="BL291" s="13">
        <v>0</v>
      </c>
      <c r="BM291" s="13">
        <f>FAR[[#This Row],[Accumulated depreciation (Opening balance)]]+FAR[[#This Row],[Depreciation YTD]]+FAR[[#This Row],[Derecognitions (acc dep) '[+']]]</f>
        <v>-2998.9698109827109</v>
      </c>
      <c r="BN291" s="13"/>
      <c r="BO291" s="13"/>
      <c r="BP291" s="13"/>
      <c r="BQ291" s="13"/>
      <c r="BR29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91" s="13">
        <f>FAR[[#This Row],[Cost Price (closing balance)]]+FAR[[#This Row],[Accumulated depreciation (Closing balance)]]+FAR[[#This Row],[Accumulated impairments (Closing balance)]]</f>
        <v>1.0301890172891035</v>
      </c>
      <c r="BT291" s="13"/>
      <c r="BU291" s="13"/>
      <c r="BV291" s="13"/>
      <c r="BW291" s="10" t="s">
        <v>167</v>
      </c>
      <c r="BX291" s="9" t="s">
        <v>168</v>
      </c>
      <c r="BY291" s="10"/>
      <c r="BZ291" t="s">
        <v>968</v>
      </c>
      <c r="CA291"/>
      <c r="CB291" s="34"/>
      <c r="CC291" s="34"/>
      <c r="CD291" s="34"/>
      <c r="CE291" s="141"/>
    </row>
    <row r="292" spans="1:83">
      <c r="A292" s="35">
        <v>1223</v>
      </c>
      <c r="B292" s="9" t="s">
        <v>867</v>
      </c>
      <c r="C292" s="9" t="s">
        <v>54</v>
      </c>
      <c r="D292" s="10" t="s">
        <v>1</v>
      </c>
      <c r="E292" s="9" t="s">
        <v>115</v>
      </c>
      <c r="F292" s="36" t="s">
        <v>99</v>
      </c>
      <c r="G292" s="9" t="s">
        <v>100</v>
      </c>
      <c r="H292" s="3" t="s">
        <v>128</v>
      </c>
      <c r="I292" s="9" t="s">
        <v>100</v>
      </c>
      <c r="J292" s="36" t="s">
        <v>101</v>
      </c>
      <c r="K292" s="10" t="s">
        <v>559</v>
      </c>
      <c r="L292" s="10" t="s">
        <v>559</v>
      </c>
      <c r="M292" s="9" t="s">
        <v>100</v>
      </c>
      <c r="N292" s="10" t="s">
        <v>551</v>
      </c>
      <c r="O292" s="9" t="s">
        <v>100</v>
      </c>
      <c r="P292" s="10"/>
      <c r="Q292" s="10" t="s">
        <v>551</v>
      </c>
      <c r="R292" s="10" t="s">
        <v>119</v>
      </c>
      <c r="S292" s="10" t="s">
        <v>130</v>
      </c>
      <c r="T292" s="10" t="s">
        <v>120</v>
      </c>
      <c r="U292" s="10" t="s">
        <v>101</v>
      </c>
      <c r="V292" s="10" t="s">
        <v>121</v>
      </c>
      <c r="W292" s="10" t="s">
        <v>122</v>
      </c>
      <c r="X292" s="10" t="s">
        <v>123</v>
      </c>
      <c r="Y292" s="29">
        <v>1</v>
      </c>
      <c r="Z292" s="138" t="s">
        <v>596</v>
      </c>
      <c r="AA292" s="138">
        <v>43285</v>
      </c>
      <c r="AB292" s="9" t="s">
        <v>114</v>
      </c>
      <c r="AC292" s="9" t="s">
        <v>124</v>
      </c>
      <c r="AD292" s="15">
        <v>44651</v>
      </c>
      <c r="AE292" s="39" t="s">
        <v>125</v>
      </c>
      <c r="AF292" s="177">
        <v>6</v>
      </c>
      <c r="AG292" s="140">
        <v>0</v>
      </c>
      <c r="AH292" s="9">
        <v>0</v>
      </c>
      <c r="AI292" s="10" t="s">
        <v>126</v>
      </c>
      <c r="AJ292" s="10"/>
      <c r="AK292" s="29"/>
      <c r="AL292" s="12">
        <v>1.0082191780821916</v>
      </c>
      <c r="AM292" s="10"/>
      <c r="AN292" s="12">
        <f>FAR[[#This Row],[Opening RUL]]+FAR[[#This Row],[RUL Adjustment]]</f>
        <v>1.0082191780821916</v>
      </c>
      <c r="AO292" s="12">
        <f>FAR[[#This Row],[Opening RUL 30 June 2026]]-1</f>
        <v>8.219178082191636E-3</v>
      </c>
      <c r="AP292" s="12" t="s">
        <v>1051</v>
      </c>
      <c r="AQ292" s="139"/>
      <c r="AR292" s="10" t="s">
        <v>127</v>
      </c>
      <c r="AS292" s="13">
        <v>5400</v>
      </c>
      <c r="AT292" s="13"/>
      <c r="AU292" s="13">
        <v>0</v>
      </c>
      <c r="AV292" s="13">
        <v>0</v>
      </c>
      <c r="AW292" s="13">
        <v>0</v>
      </c>
      <c r="AX292" s="13">
        <v>5400</v>
      </c>
      <c r="AY292" s="13">
        <v>227.46573501746843</v>
      </c>
      <c r="AZ292" s="13">
        <v>0</v>
      </c>
      <c r="BA292" s="13"/>
      <c r="BB292" s="13"/>
      <c r="BC292" s="13">
        <v>-5172.5342649825316</v>
      </c>
      <c r="BD292" s="13"/>
      <c r="BE292" s="13" t="s">
        <v>114</v>
      </c>
      <c r="BF292" s="29"/>
      <c r="BG292" s="13"/>
      <c r="BH292" s="13">
        <f>-FAR[[#This Row],[Carrying value (opening balance)]]/FAR[[#This Row],[Opening RUL 30 June 2026]]</f>
        <v>-225.6113947863478</v>
      </c>
      <c r="BI292" s="13">
        <f>FAR[[#This Row],[Depreciation YTD]]/12</f>
        <v>-18.800949565528985</v>
      </c>
      <c r="BJ292" s="13"/>
      <c r="BK292" s="13" t="s">
        <v>116</v>
      </c>
      <c r="BL292" s="13">
        <v>0</v>
      </c>
      <c r="BM292" s="13">
        <f>FAR[[#This Row],[Accumulated depreciation (Opening balance)]]+FAR[[#This Row],[Depreciation YTD]]+FAR[[#This Row],[Derecognitions (acc dep) '[+']]]</f>
        <v>-5398.1456597688793</v>
      </c>
      <c r="BN292" s="13"/>
      <c r="BO292" s="13"/>
      <c r="BP292" s="13"/>
      <c r="BQ292" s="13"/>
      <c r="BR29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92" s="13">
        <f>FAR[[#This Row],[Cost Price (closing balance)]]+FAR[[#This Row],[Accumulated depreciation (Closing balance)]]+FAR[[#This Row],[Accumulated impairments (Closing balance)]]</f>
        <v>1.8543402311206592</v>
      </c>
      <c r="BT292" s="13"/>
      <c r="BU292" s="13"/>
      <c r="BV292" s="13"/>
      <c r="BW292" s="10" t="s">
        <v>167</v>
      </c>
      <c r="BX292" s="9" t="s">
        <v>168</v>
      </c>
      <c r="BY292" s="10"/>
      <c r="BZ292" t="s">
        <v>1005</v>
      </c>
      <c r="CA292"/>
      <c r="CB292" s="34"/>
      <c r="CC292" s="34"/>
      <c r="CD292" s="34"/>
      <c r="CE292" s="141"/>
    </row>
    <row r="293" spans="1:83">
      <c r="A293" s="35">
        <v>1226</v>
      </c>
      <c r="B293" s="9" t="s">
        <v>851</v>
      </c>
      <c r="C293" s="9" t="s">
        <v>54</v>
      </c>
      <c r="D293" s="10" t="s">
        <v>1</v>
      </c>
      <c r="E293" s="9" t="s">
        <v>115</v>
      </c>
      <c r="F293" s="36" t="s">
        <v>99</v>
      </c>
      <c r="G293" s="9" t="s">
        <v>100</v>
      </c>
      <c r="H293" s="3" t="s">
        <v>128</v>
      </c>
      <c r="I293" s="9" t="s">
        <v>100</v>
      </c>
      <c r="J293" s="36" t="s">
        <v>101</v>
      </c>
      <c r="K293" s="10" t="s">
        <v>559</v>
      </c>
      <c r="L293" s="10" t="s">
        <v>559</v>
      </c>
      <c r="M293" s="9" t="s">
        <v>100</v>
      </c>
      <c r="N293" s="10" t="s">
        <v>551</v>
      </c>
      <c r="O293" s="9" t="s">
        <v>100</v>
      </c>
      <c r="P293" s="10"/>
      <c r="Q293" s="10" t="s">
        <v>551</v>
      </c>
      <c r="R293" s="10" t="s">
        <v>119</v>
      </c>
      <c r="S293" s="10" t="s">
        <v>130</v>
      </c>
      <c r="T293" s="10" t="s">
        <v>120</v>
      </c>
      <c r="U293" s="10" t="s">
        <v>101</v>
      </c>
      <c r="V293" s="10" t="s">
        <v>121</v>
      </c>
      <c r="W293" s="10" t="s">
        <v>122</v>
      </c>
      <c r="X293" s="10" t="s">
        <v>123</v>
      </c>
      <c r="Y293" s="29">
        <v>1</v>
      </c>
      <c r="Z293" s="138" t="s">
        <v>596</v>
      </c>
      <c r="AA293" s="138">
        <v>43285</v>
      </c>
      <c r="AB293" s="9" t="s">
        <v>114</v>
      </c>
      <c r="AC293" s="9" t="s">
        <v>124</v>
      </c>
      <c r="AD293" s="15">
        <v>44651</v>
      </c>
      <c r="AE293" s="39" t="s">
        <v>125</v>
      </c>
      <c r="AF293" s="177">
        <v>6</v>
      </c>
      <c r="AG293" s="140">
        <v>0</v>
      </c>
      <c r="AH293" s="9">
        <v>0</v>
      </c>
      <c r="AI293" s="10" t="s">
        <v>126</v>
      </c>
      <c r="AJ293" s="10"/>
      <c r="AK293" s="29"/>
      <c r="AL293" s="12">
        <v>1.0082191780821916</v>
      </c>
      <c r="AM293" s="10"/>
      <c r="AN293" s="12">
        <f>FAR[[#This Row],[Opening RUL]]+FAR[[#This Row],[RUL Adjustment]]</f>
        <v>1.0082191780821916</v>
      </c>
      <c r="AO293" s="12">
        <f>FAR[[#This Row],[Opening RUL 30 June 2026]]-1</f>
        <v>8.219178082191636E-3</v>
      </c>
      <c r="AP293" s="12" t="s">
        <v>1050</v>
      </c>
      <c r="AQ293" s="139"/>
      <c r="AR293" s="10" t="s">
        <v>127</v>
      </c>
      <c r="AS293" s="13">
        <v>5400</v>
      </c>
      <c r="AT293" s="13"/>
      <c r="AU293" s="13">
        <v>0</v>
      </c>
      <c r="AV293" s="13">
        <v>0</v>
      </c>
      <c r="AW293" s="13">
        <v>0</v>
      </c>
      <c r="AX293" s="13">
        <v>5400</v>
      </c>
      <c r="AY293" s="13">
        <v>227.46573501746843</v>
      </c>
      <c r="AZ293" s="13">
        <v>0</v>
      </c>
      <c r="BA293" s="13"/>
      <c r="BB293" s="13"/>
      <c r="BC293" s="13">
        <v>-5172.5342649825316</v>
      </c>
      <c r="BD293" s="13"/>
      <c r="BE293" s="13" t="s">
        <v>114</v>
      </c>
      <c r="BF293" s="29"/>
      <c r="BG293" s="13"/>
      <c r="BH293" s="13">
        <f>-FAR[[#This Row],[Carrying value (opening balance)]]/FAR[[#This Row],[Opening RUL 30 June 2026]]</f>
        <v>-225.6113947863478</v>
      </c>
      <c r="BI293" s="13">
        <f>FAR[[#This Row],[Depreciation YTD]]/12</f>
        <v>-18.800949565528985</v>
      </c>
      <c r="BJ293" s="13"/>
      <c r="BK293" s="13" t="s">
        <v>116</v>
      </c>
      <c r="BL293" s="13">
        <v>0</v>
      </c>
      <c r="BM293" s="13">
        <f>FAR[[#This Row],[Accumulated depreciation (Opening balance)]]+FAR[[#This Row],[Depreciation YTD]]+FAR[[#This Row],[Derecognitions (acc dep) '[+']]]</f>
        <v>-5398.1456597688793</v>
      </c>
      <c r="BN293" s="13"/>
      <c r="BO293" s="13"/>
      <c r="BP293" s="13"/>
      <c r="BQ293" s="13"/>
      <c r="BR29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93" s="13">
        <f>FAR[[#This Row],[Cost Price (closing balance)]]+FAR[[#This Row],[Accumulated depreciation (Closing balance)]]+FAR[[#This Row],[Accumulated impairments (Closing balance)]]</f>
        <v>1.8543402311206592</v>
      </c>
      <c r="BT293" s="13"/>
      <c r="BU293" s="13"/>
      <c r="BV293" s="13"/>
      <c r="BW293" s="10" t="s">
        <v>167</v>
      </c>
      <c r="BX293" s="9" t="s">
        <v>168</v>
      </c>
      <c r="BY293" s="10"/>
      <c r="BZ293" t="s">
        <v>1020</v>
      </c>
      <c r="CA293"/>
      <c r="CB293" s="34"/>
      <c r="CC293" s="34"/>
      <c r="CD293" s="34"/>
      <c r="CE293" s="141"/>
    </row>
    <row r="294" spans="1:83">
      <c r="A294" s="35">
        <v>1227</v>
      </c>
      <c r="B294" s="9" t="s">
        <v>859</v>
      </c>
      <c r="C294" s="9" t="s">
        <v>54</v>
      </c>
      <c r="D294" s="10" t="s">
        <v>1</v>
      </c>
      <c r="E294" s="9" t="s">
        <v>115</v>
      </c>
      <c r="F294" s="36" t="s">
        <v>99</v>
      </c>
      <c r="G294" s="9" t="s">
        <v>100</v>
      </c>
      <c r="H294" s="3" t="s">
        <v>128</v>
      </c>
      <c r="I294" s="9" t="s">
        <v>100</v>
      </c>
      <c r="J294" s="36" t="s">
        <v>101</v>
      </c>
      <c r="K294" s="10" t="s">
        <v>559</v>
      </c>
      <c r="L294" s="10" t="s">
        <v>559</v>
      </c>
      <c r="M294" s="9" t="s">
        <v>100</v>
      </c>
      <c r="N294" s="10" t="s">
        <v>551</v>
      </c>
      <c r="O294" s="9" t="s">
        <v>100</v>
      </c>
      <c r="P294" s="10"/>
      <c r="Q294" s="10" t="s">
        <v>551</v>
      </c>
      <c r="R294" s="10" t="s">
        <v>119</v>
      </c>
      <c r="S294" s="10" t="s">
        <v>130</v>
      </c>
      <c r="T294" s="10" t="s">
        <v>120</v>
      </c>
      <c r="U294" s="10" t="s">
        <v>101</v>
      </c>
      <c r="V294" s="10" t="s">
        <v>121</v>
      </c>
      <c r="W294" s="10" t="s">
        <v>122</v>
      </c>
      <c r="X294" s="10" t="s">
        <v>123</v>
      </c>
      <c r="Y294" s="29">
        <v>1</v>
      </c>
      <c r="Z294" s="138" t="s">
        <v>596</v>
      </c>
      <c r="AA294" s="138">
        <v>43285</v>
      </c>
      <c r="AB294" s="9" t="s">
        <v>114</v>
      </c>
      <c r="AC294" s="9" t="s">
        <v>124</v>
      </c>
      <c r="AD294" s="15">
        <v>44651</v>
      </c>
      <c r="AE294" s="39" t="s">
        <v>125</v>
      </c>
      <c r="AF294" s="177">
        <v>6</v>
      </c>
      <c r="AG294" s="140">
        <v>0</v>
      </c>
      <c r="AH294" s="9">
        <v>0</v>
      </c>
      <c r="AI294" s="10" t="s">
        <v>126</v>
      </c>
      <c r="AJ294" s="10"/>
      <c r="AK294" s="29"/>
      <c r="AL294" s="12">
        <v>1.0082191780821916</v>
      </c>
      <c r="AM294" s="10"/>
      <c r="AN294" s="12">
        <f>FAR[[#This Row],[Opening RUL]]+FAR[[#This Row],[RUL Adjustment]]</f>
        <v>1.0082191780821916</v>
      </c>
      <c r="AO294" s="12">
        <f>FAR[[#This Row],[Opening RUL 30 June 2026]]-1</f>
        <v>8.219178082191636E-3</v>
      </c>
      <c r="AP294" s="12" t="s">
        <v>1050</v>
      </c>
      <c r="AQ294" s="139"/>
      <c r="AR294" s="10" t="s">
        <v>127</v>
      </c>
      <c r="AS294" s="13">
        <v>5400</v>
      </c>
      <c r="AT294" s="13"/>
      <c r="AU294" s="13">
        <v>0</v>
      </c>
      <c r="AV294" s="13">
        <v>0</v>
      </c>
      <c r="AW294" s="13">
        <v>0</v>
      </c>
      <c r="AX294" s="13">
        <v>5400</v>
      </c>
      <c r="AY294" s="13">
        <v>227.46573501746843</v>
      </c>
      <c r="AZ294" s="13">
        <v>0</v>
      </c>
      <c r="BA294" s="13"/>
      <c r="BB294" s="13"/>
      <c r="BC294" s="13">
        <v>-5172.5342649825316</v>
      </c>
      <c r="BD294" s="13"/>
      <c r="BE294" s="13" t="s">
        <v>114</v>
      </c>
      <c r="BF294" s="29"/>
      <c r="BG294" s="13"/>
      <c r="BH294" s="13">
        <f>-FAR[[#This Row],[Carrying value (opening balance)]]/FAR[[#This Row],[Opening RUL 30 June 2026]]</f>
        <v>-225.6113947863478</v>
      </c>
      <c r="BI294" s="13">
        <f>FAR[[#This Row],[Depreciation YTD]]/12</f>
        <v>-18.800949565528985</v>
      </c>
      <c r="BJ294" s="13"/>
      <c r="BK294" s="13" t="s">
        <v>116</v>
      </c>
      <c r="BL294" s="13">
        <v>0</v>
      </c>
      <c r="BM294" s="13">
        <f>FAR[[#This Row],[Accumulated depreciation (Opening balance)]]+FAR[[#This Row],[Depreciation YTD]]+FAR[[#This Row],[Derecognitions (acc dep) '[+']]]</f>
        <v>-5398.1456597688793</v>
      </c>
      <c r="BN294" s="13"/>
      <c r="BO294" s="13"/>
      <c r="BP294" s="13"/>
      <c r="BQ294" s="13"/>
      <c r="BR29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94" s="13">
        <f>FAR[[#This Row],[Cost Price (closing balance)]]+FAR[[#This Row],[Accumulated depreciation (Closing balance)]]+FAR[[#This Row],[Accumulated impairments (Closing balance)]]</f>
        <v>1.8543402311206592</v>
      </c>
      <c r="BT294" s="13"/>
      <c r="BU294" s="13"/>
      <c r="BV294" s="13"/>
      <c r="BW294" s="10" t="s">
        <v>167</v>
      </c>
      <c r="BX294" s="9" t="s">
        <v>168</v>
      </c>
      <c r="BY294" s="10"/>
      <c r="BZ294" t="s">
        <v>1021</v>
      </c>
      <c r="CA294"/>
      <c r="CB294" s="34"/>
      <c r="CC294" s="34"/>
      <c r="CD294" s="34"/>
      <c r="CE294" s="141"/>
    </row>
    <row r="295" spans="1:83">
      <c r="A295" s="35">
        <v>1228</v>
      </c>
      <c r="B295" s="9" t="s">
        <v>877</v>
      </c>
      <c r="C295" s="9" t="s">
        <v>54</v>
      </c>
      <c r="D295" s="10" t="s">
        <v>1</v>
      </c>
      <c r="E295" s="9" t="s">
        <v>115</v>
      </c>
      <c r="F295" s="36" t="s">
        <v>99</v>
      </c>
      <c r="G295" s="9" t="s">
        <v>100</v>
      </c>
      <c r="H295" s="3" t="s">
        <v>128</v>
      </c>
      <c r="I295" s="9" t="s">
        <v>100</v>
      </c>
      <c r="J295" s="36" t="s">
        <v>101</v>
      </c>
      <c r="K295" s="10" t="s">
        <v>559</v>
      </c>
      <c r="L295" s="10" t="s">
        <v>559</v>
      </c>
      <c r="M295" s="9" t="s">
        <v>100</v>
      </c>
      <c r="N295" s="10" t="s">
        <v>551</v>
      </c>
      <c r="O295" s="9" t="s">
        <v>100</v>
      </c>
      <c r="P295" s="10"/>
      <c r="Q295" s="10" t="s">
        <v>551</v>
      </c>
      <c r="R295" s="10" t="s">
        <v>119</v>
      </c>
      <c r="S295" s="10" t="s">
        <v>130</v>
      </c>
      <c r="T295" s="10" t="s">
        <v>120</v>
      </c>
      <c r="U295" s="10" t="s">
        <v>101</v>
      </c>
      <c r="V295" s="10" t="s">
        <v>121</v>
      </c>
      <c r="W295" s="10" t="s">
        <v>122</v>
      </c>
      <c r="X295" s="10" t="s">
        <v>123</v>
      </c>
      <c r="Y295" s="29">
        <v>1</v>
      </c>
      <c r="Z295" s="138" t="s">
        <v>596</v>
      </c>
      <c r="AA295" s="138">
        <v>43285</v>
      </c>
      <c r="AB295" s="9" t="s">
        <v>114</v>
      </c>
      <c r="AC295" s="9" t="s">
        <v>124</v>
      </c>
      <c r="AD295" s="15">
        <v>44651</v>
      </c>
      <c r="AE295" s="39" t="s">
        <v>125</v>
      </c>
      <c r="AF295" s="177">
        <v>6</v>
      </c>
      <c r="AG295" s="140">
        <v>0</v>
      </c>
      <c r="AH295" s="9">
        <v>0</v>
      </c>
      <c r="AI295" s="10" t="s">
        <v>126</v>
      </c>
      <c r="AJ295" s="10"/>
      <c r="AK295" s="29"/>
      <c r="AL295" s="12">
        <v>1.0082191780821916</v>
      </c>
      <c r="AM295" s="10"/>
      <c r="AN295" s="12">
        <f>FAR[[#This Row],[Opening RUL]]+FAR[[#This Row],[RUL Adjustment]]</f>
        <v>1.0082191780821916</v>
      </c>
      <c r="AO295" s="12">
        <f>FAR[[#This Row],[Opening RUL 30 June 2026]]-1</f>
        <v>8.219178082191636E-3</v>
      </c>
      <c r="AP295" s="12" t="s">
        <v>1050</v>
      </c>
      <c r="AQ295" s="139"/>
      <c r="AR295" s="10" t="s">
        <v>127</v>
      </c>
      <c r="AS295" s="13">
        <v>5400</v>
      </c>
      <c r="AT295" s="13"/>
      <c r="AU295" s="13">
        <v>0</v>
      </c>
      <c r="AV295" s="13">
        <v>0</v>
      </c>
      <c r="AW295" s="13">
        <v>0</v>
      </c>
      <c r="AX295" s="13">
        <v>5400</v>
      </c>
      <c r="AY295" s="13">
        <v>227.46573501746843</v>
      </c>
      <c r="AZ295" s="13">
        <v>0</v>
      </c>
      <c r="BA295" s="13"/>
      <c r="BB295" s="13"/>
      <c r="BC295" s="13">
        <v>-5172.5342649825316</v>
      </c>
      <c r="BD295" s="13"/>
      <c r="BE295" s="13" t="s">
        <v>114</v>
      </c>
      <c r="BF295" s="29"/>
      <c r="BG295" s="13"/>
      <c r="BH295" s="13">
        <f>-FAR[[#This Row],[Carrying value (opening balance)]]/FAR[[#This Row],[Opening RUL 30 June 2026]]</f>
        <v>-225.6113947863478</v>
      </c>
      <c r="BI295" s="13">
        <f>FAR[[#This Row],[Depreciation YTD]]/12</f>
        <v>-18.800949565528985</v>
      </c>
      <c r="BJ295" s="13"/>
      <c r="BK295" s="13" t="s">
        <v>116</v>
      </c>
      <c r="BL295" s="13">
        <v>0</v>
      </c>
      <c r="BM295" s="13">
        <f>FAR[[#This Row],[Accumulated depreciation (Opening balance)]]+FAR[[#This Row],[Depreciation YTD]]+FAR[[#This Row],[Derecognitions (acc dep) '[+']]]</f>
        <v>-5398.1456597688793</v>
      </c>
      <c r="BN295" s="13"/>
      <c r="BO295" s="13"/>
      <c r="BP295" s="13"/>
      <c r="BQ295" s="13"/>
      <c r="BR29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95" s="13">
        <f>FAR[[#This Row],[Cost Price (closing balance)]]+FAR[[#This Row],[Accumulated depreciation (Closing balance)]]+FAR[[#This Row],[Accumulated impairments (Closing balance)]]</f>
        <v>1.8543402311206592</v>
      </c>
      <c r="BT295" s="13"/>
      <c r="BU295" s="13"/>
      <c r="BV295" s="13"/>
      <c r="BW295" s="10" t="s">
        <v>167</v>
      </c>
      <c r="BX295" s="9" t="s">
        <v>168</v>
      </c>
      <c r="BY295" s="10"/>
      <c r="BZ295" t="s">
        <v>997</v>
      </c>
      <c r="CA295"/>
      <c r="CB295" s="34"/>
      <c r="CC295" s="34"/>
      <c r="CD295" s="34"/>
      <c r="CE295" s="141"/>
    </row>
    <row r="296" spans="1:83">
      <c r="A296" s="35">
        <v>1229</v>
      </c>
      <c r="B296" s="9" t="s">
        <v>877</v>
      </c>
      <c r="C296" s="9" t="s">
        <v>54</v>
      </c>
      <c r="D296" s="10" t="s">
        <v>1</v>
      </c>
      <c r="E296" s="9" t="s">
        <v>115</v>
      </c>
      <c r="F296" s="36" t="s">
        <v>99</v>
      </c>
      <c r="G296" s="9" t="s">
        <v>100</v>
      </c>
      <c r="H296" s="3" t="s">
        <v>128</v>
      </c>
      <c r="I296" s="9" t="s">
        <v>100</v>
      </c>
      <c r="J296" s="36" t="s">
        <v>101</v>
      </c>
      <c r="K296" s="10" t="s">
        <v>559</v>
      </c>
      <c r="L296" s="10" t="s">
        <v>559</v>
      </c>
      <c r="M296" s="9" t="s">
        <v>100</v>
      </c>
      <c r="N296" s="10" t="s">
        <v>551</v>
      </c>
      <c r="O296" s="9" t="s">
        <v>100</v>
      </c>
      <c r="P296" s="10"/>
      <c r="Q296" s="10" t="s">
        <v>551</v>
      </c>
      <c r="R296" s="10" t="s">
        <v>119</v>
      </c>
      <c r="S296" s="10" t="s">
        <v>130</v>
      </c>
      <c r="T296" s="10" t="s">
        <v>120</v>
      </c>
      <c r="U296" s="10" t="s">
        <v>101</v>
      </c>
      <c r="V296" s="10" t="s">
        <v>121</v>
      </c>
      <c r="W296" s="10" t="s">
        <v>122</v>
      </c>
      <c r="X296" s="10" t="s">
        <v>123</v>
      </c>
      <c r="Y296" s="29">
        <v>1</v>
      </c>
      <c r="Z296" s="138" t="s">
        <v>596</v>
      </c>
      <c r="AA296" s="138">
        <v>43285</v>
      </c>
      <c r="AB296" s="9" t="s">
        <v>114</v>
      </c>
      <c r="AC296" s="9" t="s">
        <v>124</v>
      </c>
      <c r="AD296" s="15">
        <v>44651</v>
      </c>
      <c r="AE296" s="39" t="s">
        <v>125</v>
      </c>
      <c r="AF296" s="177">
        <v>6</v>
      </c>
      <c r="AG296" s="140">
        <v>0</v>
      </c>
      <c r="AH296" s="9">
        <v>0</v>
      </c>
      <c r="AI296" s="10" t="s">
        <v>126</v>
      </c>
      <c r="AJ296" s="10"/>
      <c r="AK296" s="29"/>
      <c r="AL296" s="12">
        <v>1.0082191780821916</v>
      </c>
      <c r="AM296" s="10"/>
      <c r="AN296" s="12">
        <f>FAR[[#This Row],[Opening RUL]]+FAR[[#This Row],[RUL Adjustment]]</f>
        <v>1.0082191780821916</v>
      </c>
      <c r="AO296" s="12">
        <f>FAR[[#This Row],[Opening RUL 30 June 2026]]-1</f>
        <v>8.219178082191636E-3</v>
      </c>
      <c r="AP296" s="12" t="s">
        <v>1050</v>
      </c>
      <c r="AQ296" s="139"/>
      <c r="AR296" s="10" t="s">
        <v>127</v>
      </c>
      <c r="AS296" s="13">
        <v>5400</v>
      </c>
      <c r="AT296" s="13"/>
      <c r="AU296" s="13">
        <v>0</v>
      </c>
      <c r="AV296" s="13">
        <v>0</v>
      </c>
      <c r="AW296" s="13">
        <v>0</v>
      </c>
      <c r="AX296" s="13">
        <v>5400</v>
      </c>
      <c r="AY296" s="13">
        <v>227.46573501746843</v>
      </c>
      <c r="AZ296" s="13">
        <v>0</v>
      </c>
      <c r="BA296" s="13"/>
      <c r="BB296" s="13"/>
      <c r="BC296" s="13">
        <v>-5172.5342649825316</v>
      </c>
      <c r="BD296" s="13"/>
      <c r="BE296" s="13" t="s">
        <v>114</v>
      </c>
      <c r="BF296" s="29"/>
      <c r="BG296" s="13"/>
      <c r="BH296" s="13">
        <f>-FAR[[#This Row],[Carrying value (opening balance)]]/FAR[[#This Row],[Opening RUL 30 June 2026]]</f>
        <v>-225.6113947863478</v>
      </c>
      <c r="BI296" s="13">
        <f>FAR[[#This Row],[Depreciation YTD]]/12</f>
        <v>-18.800949565528985</v>
      </c>
      <c r="BJ296" s="13"/>
      <c r="BK296" s="13" t="s">
        <v>116</v>
      </c>
      <c r="BL296" s="13">
        <v>0</v>
      </c>
      <c r="BM296" s="13">
        <f>FAR[[#This Row],[Accumulated depreciation (Opening balance)]]+FAR[[#This Row],[Depreciation YTD]]+FAR[[#This Row],[Derecognitions (acc dep) '[+']]]</f>
        <v>-5398.1456597688793</v>
      </c>
      <c r="BN296" s="13"/>
      <c r="BO296" s="13"/>
      <c r="BP296" s="13"/>
      <c r="BQ296" s="13"/>
      <c r="BR29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96" s="13">
        <f>FAR[[#This Row],[Cost Price (closing balance)]]+FAR[[#This Row],[Accumulated depreciation (Closing balance)]]+FAR[[#This Row],[Accumulated impairments (Closing balance)]]</f>
        <v>1.8543402311206592</v>
      </c>
      <c r="BT296" s="13"/>
      <c r="BU296" s="13"/>
      <c r="BV296" s="13"/>
      <c r="BW296" s="10" t="s">
        <v>167</v>
      </c>
      <c r="BX296" s="9" t="s">
        <v>168</v>
      </c>
      <c r="BY296" s="10"/>
      <c r="BZ296" t="s">
        <v>997</v>
      </c>
      <c r="CA296"/>
      <c r="CB296" s="34"/>
      <c r="CC296" s="34"/>
      <c r="CD296" s="34"/>
      <c r="CE296" s="141"/>
    </row>
    <row r="297" spans="1:83">
      <c r="A297" s="35">
        <v>1231</v>
      </c>
      <c r="B297" s="9" t="s">
        <v>877</v>
      </c>
      <c r="C297" s="9" t="s">
        <v>54</v>
      </c>
      <c r="D297" s="10" t="s">
        <v>1</v>
      </c>
      <c r="E297" s="9" t="s">
        <v>115</v>
      </c>
      <c r="F297" s="36" t="s">
        <v>99</v>
      </c>
      <c r="G297" s="9" t="s">
        <v>100</v>
      </c>
      <c r="H297" s="3" t="s">
        <v>128</v>
      </c>
      <c r="I297" s="9" t="s">
        <v>100</v>
      </c>
      <c r="J297" s="36" t="s">
        <v>101</v>
      </c>
      <c r="K297" s="10" t="s">
        <v>559</v>
      </c>
      <c r="L297" s="10" t="s">
        <v>559</v>
      </c>
      <c r="M297" s="9" t="s">
        <v>100</v>
      </c>
      <c r="N297" s="10" t="s">
        <v>551</v>
      </c>
      <c r="O297" s="9" t="s">
        <v>100</v>
      </c>
      <c r="P297" s="10"/>
      <c r="Q297" s="10" t="s">
        <v>551</v>
      </c>
      <c r="R297" s="10" t="s">
        <v>119</v>
      </c>
      <c r="S297" s="10" t="s">
        <v>130</v>
      </c>
      <c r="T297" s="10" t="s">
        <v>120</v>
      </c>
      <c r="U297" s="10" t="s">
        <v>101</v>
      </c>
      <c r="V297" s="10" t="s">
        <v>121</v>
      </c>
      <c r="W297" s="10" t="s">
        <v>122</v>
      </c>
      <c r="X297" s="10" t="s">
        <v>123</v>
      </c>
      <c r="Y297" s="29">
        <v>1</v>
      </c>
      <c r="Z297" s="138" t="s">
        <v>596</v>
      </c>
      <c r="AA297" s="138">
        <v>43285</v>
      </c>
      <c r="AB297" s="9" t="s">
        <v>114</v>
      </c>
      <c r="AC297" s="9" t="s">
        <v>124</v>
      </c>
      <c r="AD297" s="15">
        <v>44651</v>
      </c>
      <c r="AE297" s="39" t="s">
        <v>125</v>
      </c>
      <c r="AF297" s="177">
        <v>6</v>
      </c>
      <c r="AG297" s="140">
        <v>0</v>
      </c>
      <c r="AH297" s="9">
        <v>0</v>
      </c>
      <c r="AI297" s="10" t="s">
        <v>126</v>
      </c>
      <c r="AJ297" s="10"/>
      <c r="AK297" s="29"/>
      <c r="AL297" s="12">
        <v>1.0082191780821916</v>
      </c>
      <c r="AM297" s="10"/>
      <c r="AN297" s="12">
        <f>FAR[[#This Row],[Opening RUL]]+FAR[[#This Row],[RUL Adjustment]]</f>
        <v>1.0082191780821916</v>
      </c>
      <c r="AO297" s="12">
        <f>FAR[[#This Row],[Opening RUL 30 June 2026]]-1</f>
        <v>8.219178082191636E-3</v>
      </c>
      <c r="AP297" s="12" t="s">
        <v>1050</v>
      </c>
      <c r="AQ297" s="139"/>
      <c r="AR297" s="10" t="s">
        <v>127</v>
      </c>
      <c r="AS297" s="13">
        <v>5400</v>
      </c>
      <c r="AT297" s="13"/>
      <c r="AU297" s="13">
        <v>0</v>
      </c>
      <c r="AV297" s="13">
        <v>0</v>
      </c>
      <c r="AW297" s="13">
        <v>0</v>
      </c>
      <c r="AX297" s="13">
        <v>5400</v>
      </c>
      <c r="AY297" s="13">
        <v>227.46573501746843</v>
      </c>
      <c r="AZ297" s="13">
        <v>0</v>
      </c>
      <c r="BA297" s="13"/>
      <c r="BB297" s="13"/>
      <c r="BC297" s="13">
        <v>-5172.5342649825316</v>
      </c>
      <c r="BD297" s="13"/>
      <c r="BE297" s="13" t="s">
        <v>114</v>
      </c>
      <c r="BF297" s="29"/>
      <c r="BG297" s="13"/>
      <c r="BH297" s="13">
        <f>-FAR[[#This Row],[Carrying value (opening balance)]]/FAR[[#This Row],[Opening RUL 30 June 2026]]</f>
        <v>-225.6113947863478</v>
      </c>
      <c r="BI297" s="13">
        <f>FAR[[#This Row],[Depreciation YTD]]/12</f>
        <v>-18.800949565528985</v>
      </c>
      <c r="BJ297" s="13"/>
      <c r="BK297" s="13" t="s">
        <v>116</v>
      </c>
      <c r="BL297" s="13">
        <v>0</v>
      </c>
      <c r="BM297" s="13">
        <f>FAR[[#This Row],[Accumulated depreciation (Opening balance)]]+FAR[[#This Row],[Depreciation YTD]]+FAR[[#This Row],[Derecognitions (acc dep) '[+']]]</f>
        <v>-5398.1456597688793</v>
      </c>
      <c r="BN297" s="13"/>
      <c r="BO297" s="13"/>
      <c r="BP297" s="13"/>
      <c r="BQ297" s="13"/>
      <c r="BR29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97" s="13">
        <f>FAR[[#This Row],[Cost Price (closing balance)]]+FAR[[#This Row],[Accumulated depreciation (Closing balance)]]+FAR[[#This Row],[Accumulated impairments (Closing balance)]]</f>
        <v>1.8543402311206592</v>
      </c>
      <c r="BT297" s="13"/>
      <c r="BU297" s="13"/>
      <c r="BV297" s="13"/>
      <c r="BW297" s="10" t="s">
        <v>167</v>
      </c>
      <c r="BX297" s="9" t="s">
        <v>168</v>
      </c>
      <c r="BY297" s="10"/>
      <c r="BZ297" t="s">
        <v>1004</v>
      </c>
      <c r="CA297"/>
      <c r="CB297" s="34"/>
      <c r="CC297" s="34"/>
      <c r="CD297" s="34"/>
      <c r="CE297" s="141"/>
    </row>
    <row r="298" spans="1:83">
      <c r="A298" s="35">
        <v>1232</v>
      </c>
      <c r="B298" s="9" t="s">
        <v>884</v>
      </c>
      <c r="C298" s="9" t="s">
        <v>54</v>
      </c>
      <c r="D298" s="10" t="s">
        <v>1</v>
      </c>
      <c r="E298" s="9" t="s">
        <v>115</v>
      </c>
      <c r="F298" s="36" t="s">
        <v>99</v>
      </c>
      <c r="G298" s="9" t="s">
        <v>100</v>
      </c>
      <c r="H298" s="3" t="s">
        <v>128</v>
      </c>
      <c r="I298" s="9" t="s">
        <v>100</v>
      </c>
      <c r="J298" s="36" t="s">
        <v>101</v>
      </c>
      <c r="K298" s="10" t="s">
        <v>559</v>
      </c>
      <c r="L298" s="10" t="s">
        <v>559</v>
      </c>
      <c r="M298" s="9" t="s">
        <v>100</v>
      </c>
      <c r="N298" s="10" t="s">
        <v>551</v>
      </c>
      <c r="O298" s="9" t="s">
        <v>100</v>
      </c>
      <c r="P298" s="10"/>
      <c r="Q298" s="10" t="s">
        <v>551</v>
      </c>
      <c r="R298" s="10" t="s">
        <v>119</v>
      </c>
      <c r="S298" s="10" t="s">
        <v>130</v>
      </c>
      <c r="T298" s="10" t="s">
        <v>120</v>
      </c>
      <c r="U298" s="10" t="s">
        <v>101</v>
      </c>
      <c r="V298" s="10" t="s">
        <v>121</v>
      </c>
      <c r="W298" s="10" t="s">
        <v>122</v>
      </c>
      <c r="X298" s="10" t="s">
        <v>123</v>
      </c>
      <c r="Y298" s="29">
        <v>1</v>
      </c>
      <c r="Z298" s="138" t="s">
        <v>596</v>
      </c>
      <c r="AA298" s="138">
        <v>43285</v>
      </c>
      <c r="AB298" s="9" t="s">
        <v>114</v>
      </c>
      <c r="AC298" s="9" t="s">
        <v>124</v>
      </c>
      <c r="AD298" s="15">
        <v>44651</v>
      </c>
      <c r="AE298" s="39" t="s">
        <v>125</v>
      </c>
      <c r="AF298" s="177">
        <v>6</v>
      </c>
      <c r="AG298" s="140">
        <v>0</v>
      </c>
      <c r="AH298" s="9">
        <v>0</v>
      </c>
      <c r="AI298" s="10" t="s">
        <v>126</v>
      </c>
      <c r="AJ298" s="10"/>
      <c r="AK298" s="29"/>
      <c r="AL298" s="12">
        <v>1.0082191780821916</v>
      </c>
      <c r="AM298" s="10"/>
      <c r="AN298" s="12">
        <f>FAR[[#This Row],[Opening RUL]]+FAR[[#This Row],[RUL Adjustment]]</f>
        <v>1.0082191780821916</v>
      </c>
      <c r="AO298" s="12">
        <f>FAR[[#This Row],[Opening RUL 30 June 2026]]-1</f>
        <v>8.219178082191636E-3</v>
      </c>
      <c r="AP298" s="12" t="s">
        <v>1050</v>
      </c>
      <c r="AQ298" s="139"/>
      <c r="AR298" s="10" t="s">
        <v>127</v>
      </c>
      <c r="AS298" s="13">
        <v>5400</v>
      </c>
      <c r="AT298" s="13"/>
      <c r="AU298" s="13">
        <v>0</v>
      </c>
      <c r="AV298" s="13">
        <v>0</v>
      </c>
      <c r="AW298" s="13">
        <v>0</v>
      </c>
      <c r="AX298" s="13">
        <v>5400</v>
      </c>
      <c r="AY298" s="13">
        <v>227.46573501746843</v>
      </c>
      <c r="AZ298" s="13">
        <v>0</v>
      </c>
      <c r="BA298" s="13"/>
      <c r="BB298" s="13"/>
      <c r="BC298" s="13">
        <v>-5172.5342649825316</v>
      </c>
      <c r="BD298" s="13"/>
      <c r="BE298" s="13" t="s">
        <v>114</v>
      </c>
      <c r="BF298" s="29"/>
      <c r="BG298" s="13"/>
      <c r="BH298" s="13">
        <f>-FAR[[#This Row],[Carrying value (opening balance)]]/FAR[[#This Row],[Opening RUL 30 June 2026]]</f>
        <v>-225.6113947863478</v>
      </c>
      <c r="BI298" s="13">
        <f>FAR[[#This Row],[Depreciation YTD]]/12</f>
        <v>-18.800949565528985</v>
      </c>
      <c r="BJ298" s="13"/>
      <c r="BK298" s="13" t="s">
        <v>116</v>
      </c>
      <c r="BL298" s="13">
        <v>0</v>
      </c>
      <c r="BM298" s="13">
        <f>FAR[[#This Row],[Accumulated depreciation (Opening balance)]]+FAR[[#This Row],[Depreciation YTD]]+FAR[[#This Row],[Derecognitions (acc dep) '[+']]]</f>
        <v>-5398.1456597688793</v>
      </c>
      <c r="BN298" s="13"/>
      <c r="BO298" s="13"/>
      <c r="BP298" s="13"/>
      <c r="BQ298" s="13"/>
      <c r="BR29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98" s="13">
        <f>FAR[[#This Row],[Cost Price (closing balance)]]+FAR[[#This Row],[Accumulated depreciation (Closing balance)]]+FAR[[#This Row],[Accumulated impairments (Closing balance)]]</f>
        <v>1.8543402311206592</v>
      </c>
      <c r="BT298" s="13"/>
      <c r="BU298" s="13"/>
      <c r="BV298" s="13"/>
      <c r="BW298" s="10" t="s">
        <v>167</v>
      </c>
      <c r="BX298" s="9" t="s">
        <v>168</v>
      </c>
      <c r="BY298" s="10"/>
      <c r="BZ298" t="s">
        <v>999</v>
      </c>
      <c r="CA298"/>
      <c r="CB298" s="34"/>
      <c r="CC298" s="34"/>
      <c r="CD298" s="34"/>
      <c r="CE298" s="141"/>
    </row>
    <row r="299" spans="1:83">
      <c r="A299" s="35">
        <v>1234</v>
      </c>
      <c r="B299" s="9" t="s">
        <v>875</v>
      </c>
      <c r="C299" s="9" t="s">
        <v>54</v>
      </c>
      <c r="D299" s="10" t="s">
        <v>1</v>
      </c>
      <c r="E299" s="9" t="s">
        <v>115</v>
      </c>
      <c r="F299" s="36" t="s">
        <v>99</v>
      </c>
      <c r="G299" s="9" t="s">
        <v>100</v>
      </c>
      <c r="H299" s="3" t="s">
        <v>128</v>
      </c>
      <c r="I299" s="9" t="s">
        <v>100</v>
      </c>
      <c r="J299" s="36" t="s">
        <v>101</v>
      </c>
      <c r="K299" s="10" t="s">
        <v>559</v>
      </c>
      <c r="L299" s="10" t="s">
        <v>559</v>
      </c>
      <c r="M299" s="9" t="s">
        <v>100</v>
      </c>
      <c r="N299" s="10" t="s">
        <v>551</v>
      </c>
      <c r="O299" s="9" t="s">
        <v>100</v>
      </c>
      <c r="P299" s="10"/>
      <c r="Q299" s="10" t="s">
        <v>551</v>
      </c>
      <c r="R299" s="10" t="s">
        <v>119</v>
      </c>
      <c r="S299" s="10" t="s">
        <v>130</v>
      </c>
      <c r="T299" s="10" t="s">
        <v>120</v>
      </c>
      <c r="U299" s="10" t="s">
        <v>101</v>
      </c>
      <c r="V299" s="10" t="s">
        <v>121</v>
      </c>
      <c r="W299" s="10" t="s">
        <v>122</v>
      </c>
      <c r="X299" s="10" t="s">
        <v>123</v>
      </c>
      <c r="Y299" s="29">
        <v>1</v>
      </c>
      <c r="Z299" s="138" t="s">
        <v>596</v>
      </c>
      <c r="AA299" s="138">
        <v>43285</v>
      </c>
      <c r="AB299" s="9" t="s">
        <v>114</v>
      </c>
      <c r="AC299" s="9" t="s">
        <v>124</v>
      </c>
      <c r="AD299" s="15">
        <v>44651</v>
      </c>
      <c r="AE299" s="39" t="s">
        <v>125</v>
      </c>
      <c r="AF299" s="177">
        <v>6</v>
      </c>
      <c r="AG299" s="140">
        <v>0</v>
      </c>
      <c r="AH299" s="9">
        <v>0</v>
      </c>
      <c r="AI299" s="10" t="s">
        <v>126</v>
      </c>
      <c r="AJ299" s="10"/>
      <c r="AK299" s="29"/>
      <c r="AL299" s="12">
        <v>1.0082191780821916</v>
      </c>
      <c r="AM299" s="10"/>
      <c r="AN299" s="12">
        <f>FAR[[#This Row],[Opening RUL]]+FAR[[#This Row],[RUL Adjustment]]</f>
        <v>1.0082191780821916</v>
      </c>
      <c r="AO299" s="12">
        <f>FAR[[#This Row],[Opening RUL 30 June 2026]]-1</f>
        <v>8.219178082191636E-3</v>
      </c>
      <c r="AP299" s="12" t="s">
        <v>1050</v>
      </c>
      <c r="AQ299" s="139"/>
      <c r="AR299" s="10" t="s">
        <v>127</v>
      </c>
      <c r="AS299" s="13">
        <v>5400</v>
      </c>
      <c r="AT299" s="13"/>
      <c r="AU299" s="13">
        <v>0</v>
      </c>
      <c r="AV299" s="13">
        <v>0</v>
      </c>
      <c r="AW299" s="13">
        <v>0</v>
      </c>
      <c r="AX299" s="13">
        <v>5400</v>
      </c>
      <c r="AY299" s="13">
        <v>227.46573501746843</v>
      </c>
      <c r="AZ299" s="13">
        <v>0</v>
      </c>
      <c r="BA299" s="13"/>
      <c r="BB299" s="13"/>
      <c r="BC299" s="13">
        <v>-5172.5342649825316</v>
      </c>
      <c r="BD299" s="13"/>
      <c r="BE299" s="13" t="s">
        <v>114</v>
      </c>
      <c r="BF299" s="29"/>
      <c r="BG299" s="13"/>
      <c r="BH299" s="13">
        <f>-FAR[[#This Row],[Carrying value (opening balance)]]/FAR[[#This Row],[Opening RUL 30 June 2026]]</f>
        <v>-225.6113947863478</v>
      </c>
      <c r="BI299" s="13">
        <f>FAR[[#This Row],[Depreciation YTD]]/12</f>
        <v>-18.800949565528985</v>
      </c>
      <c r="BJ299" s="13"/>
      <c r="BK299" s="13" t="s">
        <v>116</v>
      </c>
      <c r="BL299" s="13">
        <v>0</v>
      </c>
      <c r="BM299" s="13">
        <f>FAR[[#This Row],[Accumulated depreciation (Opening balance)]]+FAR[[#This Row],[Depreciation YTD]]+FAR[[#This Row],[Derecognitions (acc dep) '[+']]]</f>
        <v>-5398.1456597688793</v>
      </c>
      <c r="BN299" s="13"/>
      <c r="BO299" s="13"/>
      <c r="BP299" s="13"/>
      <c r="BQ299" s="13"/>
      <c r="BR29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299" s="13">
        <f>FAR[[#This Row],[Cost Price (closing balance)]]+FAR[[#This Row],[Accumulated depreciation (Closing balance)]]+FAR[[#This Row],[Accumulated impairments (Closing balance)]]</f>
        <v>1.8543402311206592</v>
      </c>
      <c r="BT299" s="13"/>
      <c r="BU299" s="13"/>
      <c r="BV299" s="13"/>
      <c r="BW299" s="10" t="s">
        <v>167</v>
      </c>
      <c r="BX299" s="9" t="s">
        <v>168</v>
      </c>
      <c r="BY299" s="10"/>
      <c r="BZ299" t="s">
        <v>940</v>
      </c>
      <c r="CA299"/>
      <c r="CB299" s="34"/>
      <c r="CC299" s="34"/>
      <c r="CD299" s="34"/>
      <c r="CE299" s="141"/>
    </row>
    <row r="300" spans="1:83">
      <c r="A300" s="35">
        <v>1235</v>
      </c>
      <c r="B300" s="9" t="s">
        <v>930</v>
      </c>
      <c r="C300" s="9" t="s">
        <v>54</v>
      </c>
      <c r="D300" s="10" t="s">
        <v>1</v>
      </c>
      <c r="E300" s="9" t="s">
        <v>115</v>
      </c>
      <c r="F300" s="36" t="s">
        <v>99</v>
      </c>
      <c r="G300" s="9" t="s">
        <v>100</v>
      </c>
      <c r="H300" s="3" t="s">
        <v>128</v>
      </c>
      <c r="I300" s="9" t="s">
        <v>100</v>
      </c>
      <c r="J300" s="36" t="s">
        <v>101</v>
      </c>
      <c r="K300" s="10" t="s">
        <v>559</v>
      </c>
      <c r="L300" s="10" t="s">
        <v>559</v>
      </c>
      <c r="M300" s="9" t="s">
        <v>100</v>
      </c>
      <c r="N300" s="10" t="s">
        <v>551</v>
      </c>
      <c r="O300" s="9" t="s">
        <v>100</v>
      </c>
      <c r="P300" s="10"/>
      <c r="Q300" s="10" t="s">
        <v>551</v>
      </c>
      <c r="R300" s="10" t="s">
        <v>119</v>
      </c>
      <c r="S300" s="10" t="s">
        <v>130</v>
      </c>
      <c r="T300" s="10" t="s">
        <v>120</v>
      </c>
      <c r="U300" s="10" t="s">
        <v>101</v>
      </c>
      <c r="V300" s="10" t="s">
        <v>121</v>
      </c>
      <c r="W300" s="10" t="s">
        <v>122</v>
      </c>
      <c r="X300" s="10" t="s">
        <v>123</v>
      </c>
      <c r="Y300" s="29">
        <v>1</v>
      </c>
      <c r="Z300" s="138" t="s">
        <v>596</v>
      </c>
      <c r="AA300" s="138">
        <v>43285</v>
      </c>
      <c r="AB300" s="9" t="s">
        <v>114</v>
      </c>
      <c r="AC300" s="9" t="s">
        <v>124</v>
      </c>
      <c r="AD300" s="15">
        <v>44651</v>
      </c>
      <c r="AE300" s="39" t="s">
        <v>125</v>
      </c>
      <c r="AF300" s="177">
        <v>6</v>
      </c>
      <c r="AG300" s="140">
        <v>0</v>
      </c>
      <c r="AH300" s="9">
        <v>0</v>
      </c>
      <c r="AI300" s="10" t="s">
        <v>126</v>
      </c>
      <c r="AJ300" s="10"/>
      <c r="AK300" s="29"/>
      <c r="AL300" s="12">
        <v>1.0082191780821916</v>
      </c>
      <c r="AM300" s="10"/>
      <c r="AN300" s="12">
        <f>FAR[[#This Row],[Opening RUL]]+FAR[[#This Row],[RUL Adjustment]]</f>
        <v>1.0082191780821916</v>
      </c>
      <c r="AO300" s="12">
        <f>FAR[[#This Row],[Opening RUL 30 June 2026]]-1</f>
        <v>8.219178082191636E-3</v>
      </c>
      <c r="AP300" s="12" t="s">
        <v>1050</v>
      </c>
      <c r="AQ300" s="139"/>
      <c r="AR300" s="10" t="s">
        <v>127</v>
      </c>
      <c r="AS300" s="13">
        <v>5400</v>
      </c>
      <c r="AT300" s="13"/>
      <c r="AU300" s="13">
        <v>0</v>
      </c>
      <c r="AV300" s="13">
        <v>0</v>
      </c>
      <c r="AW300" s="13">
        <v>0</v>
      </c>
      <c r="AX300" s="13">
        <v>5400</v>
      </c>
      <c r="AY300" s="13">
        <v>227.46573501746843</v>
      </c>
      <c r="AZ300" s="13">
        <v>0</v>
      </c>
      <c r="BA300" s="13"/>
      <c r="BB300" s="13"/>
      <c r="BC300" s="13">
        <v>-5172.5342649825316</v>
      </c>
      <c r="BD300" s="13"/>
      <c r="BE300" s="13" t="s">
        <v>114</v>
      </c>
      <c r="BF300" s="29"/>
      <c r="BG300" s="13"/>
      <c r="BH300" s="13">
        <f>-FAR[[#This Row],[Carrying value (opening balance)]]/FAR[[#This Row],[Opening RUL 30 June 2026]]</f>
        <v>-225.6113947863478</v>
      </c>
      <c r="BI300" s="13">
        <f>FAR[[#This Row],[Depreciation YTD]]/12</f>
        <v>-18.800949565528985</v>
      </c>
      <c r="BJ300" s="13"/>
      <c r="BK300" s="13" t="s">
        <v>116</v>
      </c>
      <c r="BL300" s="13">
        <v>0</v>
      </c>
      <c r="BM300" s="13">
        <f>FAR[[#This Row],[Accumulated depreciation (Opening balance)]]+FAR[[#This Row],[Depreciation YTD]]+FAR[[#This Row],[Derecognitions (acc dep) '[+']]]</f>
        <v>-5398.1456597688793</v>
      </c>
      <c r="BN300" s="13"/>
      <c r="BO300" s="13"/>
      <c r="BP300" s="13"/>
      <c r="BQ300" s="13"/>
      <c r="BR30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00" s="13">
        <f>FAR[[#This Row],[Cost Price (closing balance)]]+FAR[[#This Row],[Accumulated depreciation (Closing balance)]]+FAR[[#This Row],[Accumulated impairments (Closing balance)]]</f>
        <v>1.8543402311206592</v>
      </c>
      <c r="BT300" s="13"/>
      <c r="BU300" s="13"/>
      <c r="BV300" s="13"/>
      <c r="BW300" s="10" t="s">
        <v>167</v>
      </c>
      <c r="BX300" s="9" t="s">
        <v>168</v>
      </c>
      <c r="BY300" s="10"/>
      <c r="BZ300" t="s">
        <v>1022</v>
      </c>
      <c r="CA300"/>
      <c r="CB300" s="34"/>
      <c r="CC300" s="34"/>
      <c r="CD300" s="34"/>
      <c r="CE300" s="141"/>
    </row>
    <row r="301" spans="1:83">
      <c r="A301" s="35">
        <v>1236</v>
      </c>
      <c r="B301" s="9" t="s">
        <v>875</v>
      </c>
      <c r="C301" s="9" t="s">
        <v>54</v>
      </c>
      <c r="D301" s="10" t="s">
        <v>1</v>
      </c>
      <c r="E301" s="9" t="s">
        <v>115</v>
      </c>
      <c r="F301" s="36" t="s">
        <v>99</v>
      </c>
      <c r="G301" s="9" t="s">
        <v>100</v>
      </c>
      <c r="H301" s="3" t="s">
        <v>128</v>
      </c>
      <c r="I301" s="9" t="s">
        <v>100</v>
      </c>
      <c r="J301" s="36" t="s">
        <v>101</v>
      </c>
      <c r="K301" s="10" t="s">
        <v>559</v>
      </c>
      <c r="L301" s="10" t="s">
        <v>559</v>
      </c>
      <c r="M301" s="9" t="s">
        <v>100</v>
      </c>
      <c r="N301" s="10" t="s">
        <v>551</v>
      </c>
      <c r="O301" s="9" t="s">
        <v>100</v>
      </c>
      <c r="P301" s="10"/>
      <c r="Q301" s="10" t="s">
        <v>551</v>
      </c>
      <c r="R301" s="10" t="s">
        <v>119</v>
      </c>
      <c r="S301" s="10" t="s">
        <v>130</v>
      </c>
      <c r="T301" s="10" t="s">
        <v>120</v>
      </c>
      <c r="U301" s="10" t="s">
        <v>101</v>
      </c>
      <c r="V301" s="10" t="s">
        <v>121</v>
      </c>
      <c r="W301" s="10" t="s">
        <v>122</v>
      </c>
      <c r="X301" s="10" t="s">
        <v>123</v>
      </c>
      <c r="Y301" s="29">
        <v>1</v>
      </c>
      <c r="Z301" s="138" t="s">
        <v>596</v>
      </c>
      <c r="AA301" s="138">
        <v>43285</v>
      </c>
      <c r="AB301" s="9" t="s">
        <v>114</v>
      </c>
      <c r="AC301" s="9" t="s">
        <v>124</v>
      </c>
      <c r="AD301" s="15">
        <v>44651</v>
      </c>
      <c r="AE301" s="39" t="s">
        <v>125</v>
      </c>
      <c r="AF301" s="177">
        <v>6</v>
      </c>
      <c r="AG301" s="140">
        <v>0</v>
      </c>
      <c r="AH301" s="9">
        <v>0</v>
      </c>
      <c r="AI301" s="10" t="s">
        <v>126</v>
      </c>
      <c r="AJ301" s="10"/>
      <c r="AK301" s="29"/>
      <c r="AL301" s="12">
        <v>1.0082191780821916</v>
      </c>
      <c r="AM301" s="10"/>
      <c r="AN301" s="12">
        <f>FAR[[#This Row],[Opening RUL]]+FAR[[#This Row],[RUL Adjustment]]</f>
        <v>1.0082191780821916</v>
      </c>
      <c r="AO301" s="12">
        <f>FAR[[#This Row],[Opening RUL 30 June 2026]]-1</f>
        <v>8.219178082191636E-3</v>
      </c>
      <c r="AP301" s="12" t="s">
        <v>1050</v>
      </c>
      <c r="AQ301" s="139"/>
      <c r="AR301" s="10" t="s">
        <v>127</v>
      </c>
      <c r="AS301" s="13">
        <v>5400</v>
      </c>
      <c r="AT301" s="13"/>
      <c r="AU301" s="13">
        <v>0</v>
      </c>
      <c r="AV301" s="13">
        <v>0</v>
      </c>
      <c r="AW301" s="13">
        <v>0</v>
      </c>
      <c r="AX301" s="13">
        <v>5400</v>
      </c>
      <c r="AY301" s="13">
        <v>227.46573501746843</v>
      </c>
      <c r="AZ301" s="13">
        <v>0</v>
      </c>
      <c r="BA301" s="13"/>
      <c r="BB301" s="13"/>
      <c r="BC301" s="13">
        <v>-5172.5342649825316</v>
      </c>
      <c r="BD301" s="13"/>
      <c r="BE301" s="13" t="s">
        <v>114</v>
      </c>
      <c r="BF301" s="29"/>
      <c r="BG301" s="13"/>
      <c r="BH301" s="13">
        <f>-FAR[[#This Row],[Carrying value (opening balance)]]/FAR[[#This Row],[Opening RUL 30 June 2026]]</f>
        <v>-225.6113947863478</v>
      </c>
      <c r="BI301" s="13">
        <f>FAR[[#This Row],[Depreciation YTD]]/12</f>
        <v>-18.800949565528985</v>
      </c>
      <c r="BJ301" s="13"/>
      <c r="BK301" s="13" t="s">
        <v>116</v>
      </c>
      <c r="BL301" s="13">
        <v>0</v>
      </c>
      <c r="BM301" s="13">
        <f>FAR[[#This Row],[Accumulated depreciation (Opening balance)]]+FAR[[#This Row],[Depreciation YTD]]+FAR[[#This Row],[Derecognitions (acc dep) '[+']]]</f>
        <v>-5398.1456597688793</v>
      </c>
      <c r="BN301" s="13"/>
      <c r="BO301" s="13"/>
      <c r="BP301" s="13"/>
      <c r="BQ301" s="13"/>
      <c r="BR30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01" s="13">
        <f>FAR[[#This Row],[Cost Price (closing balance)]]+FAR[[#This Row],[Accumulated depreciation (Closing balance)]]+FAR[[#This Row],[Accumulated impairments (Closing balance)]]</f>
        <v>1.8543402311206592</v>
      </c>
      <c r="BT301" s="13"/>
      <c r="BU301" s="13"/>
      <c r="BV301" s="13"/>
      <c r="BW301" s="10" t="s">
        <v>167</v>
      </c>
      <c r="BX301" s="9" t="s">
        <v>168</v>
      </c>
      <c r="BY301" s="10"/>
      <c r="BZ301" t="s">
        <v>1017</v>
      </c>
      <c r="CA301"/>
      <c r="CB301" s="34"/>
      <c r="CC301" s="34"/>
      <c r="CD301" s="34"/>
      <c r="CE301" s="141"/>
    </row>
    <row r="302" spans="1:83">
      <c r="A302" s="35" t="s">
        <v>423</v>
      </c>
      <c r="B302" s="9" t="s">
        <v>890</v>
      </c>
      <c r="C302" s="9" t="s">
        <v>54</v>
      </c>
      <c r="D302" s="10" t="s">
        <v>1</v>
      </c>
      <c r="E302" s="9" t="s">
        <v>115</v>
      </c>
      <c r="F302" s="36" t="s">
        <v>99</v>
      </c>
      <c r="G302" s="9" t="s">
        <v>100</v>
      </c>
      <c r="H302" s="3" t="s">
        <v>128</v>
      </c>
      <c r="I302" s="9" t="s">
        <v>100</v>
      </c>
      <c r="J302" s="36" t="s">
        <v>101</v>
      </c>
      <c r="K302" s="10" t="s">
        <v>559</v>
      </c>
      <c r="L302" s="10" t="s">
        <v>559</v>
      </c>
      <c r="M302" s="9" t="s">
        <v>100</v>
      </c>
      <c r="N302" s="10" t="s">
        <v>515</v>
      </c>
      <c r="O302" s="9" t="s">
        <v>100</v>
      </c>
      <c r="P302" s="10"/>
      <c r="Q302" s="10" t="s">
        <v>515</v>
      </c>
      <c r="R302" s="10" t="s">
        <v>119</v>
      </c>
      <c r="S302" s="10" t="s">
        <v>130</v>
      </c>
      <c r="T302" s="10" t="s">
        <v>120</v>
      </c>
      <c r="U302" s="10" t="s">
        <v>101</v>
      </c>
      <c r="V302" s="10" t="s">
        <v>121</v>
      </c>
      <c r="W302" s="10" t="s">
        <v>122</v>
      </c>
      <c r="X302" s="10" t="s">
        <v>123</v>
      </c>
      <c r="Y302" s="29">
        <v>1</v>
      </c>
      <c r="Z302" s="138" t="s">
        <v>586</v>
      </c>
      <c r="AA302" s="138">
        <v>41533</v>
      </c>
      <c r="AB302" s="9" t="s">
        <v>114</v>
      </c>
      <c r="AC302" s="9" t="s">
        <v>124</v>
      </c>
      <c r="AD302" s="15">
        <v>44651</v>
      </c>
      <c r="AE302" s="39" t="s">
        <v>125</v>
      </c>
      <c r="AF302" s="177">
        <v>6</v>
      </c>
      <c r="AG302" s="140">
        <v>0</v>
      </c>
      <c r="AH302" s="9">
        <v>0</v>
      </c>
      <c r="AI302" s="10" t="s">
        <v>126</v>
      </c>
      <c r="AJ302" s="10"/>
      <c r="AK302" s="29"/>
      <c r="AL302" s="12">
        <v>1</v>
      </c>
      <c r="AM302" s="10"/>
      <c r="AN302" s="12">
        <f>FAR[[#This Row],[Opening RUL]]+FAR[[#This Row],[RUL Adjustment]]</f>
        <v>1</v>
      </c>
      <c r="AO302" s="12">
        <f>FAR[[#This Row],[Opening RUL 30 June 2026]]-1</f>
        <v>0</v>
      </c>
      <c r="AP302" s="12" t="s">
        <v>1050</v>
      </c>
      <c r="AQ302" s="139"/>
      <c r="AR302" s="10" t="s">
        <v>127</v>
      </c>
      <c r="AS302" s="13">
        <v>1600</v>
      </c>
      <c r="AT302" s="13"/>
      <c r="AU302" s="13">
        <v>0</v>
      </c>
      <c r="AV302" s="13">
        <v>0</v>
      </c>
      <c r="AW302" s="13">
        <v>0</v>
      </c>
      <c r="AX302" s="13">
        <v>1600</v>
      </c>
      <c r="AY302" s="13">
        <v>88.888888888888687</v>
      </c>
      <c r="AZ302" s="13">
        <v>0</v>
      </c>
      <c r="BA302" s="13"/>
      <c r="BB302" s="13"/>
      <c r="BC302" s="13">
        <v>-1511.1111111111113</v>
      </c>
      <c r="BD302" s="13"/>
      <c r="BE302" s="13" t="s">
        <v>114</v>
      </c>
      <c r="BF302" s="29"/>
      <c r="BG302" s="13"/>
      <c r="BH302" s="13">
        <f>-FAR[[#This Row],[Carrying value (opening balance)]]/FAR[[#This Row],[Opening RUL 30 June 2026]]</f>
        <v>-88.888888888888687</v>
      </c>
      <c r="BI302" s="13">
        <f>FAR[[#This Row],[Depreciation YTD]]/12</f>
        <v>-7.4074074074073906</v>
      </c>
      <c r="BJ302" s="13"/>
      <c r="BK302" s="13" t="s">
        <v>116</v>
      </c>
      <c r="BL302" s="13">
        <v>0</v>
      </c>
      <c r="BM302" s="13">
        <f>FAR[[#This Row],[Accumulated depreciation (Opening balance)]]+FAR[[#This Row],[Depreciation YTD]]+FAR[[#This Row],[Derecognitions (acc dep) '[+']]]</f>
        <v>-1600</v>
      </c>
      <c r="BN302" s="13"/>
      <c r="BO302" s="13"/>
      <c r="BP302" s="13"/>
      <c r="BQ302" s="13"/>
      <c r="BR30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02" s="13">
        <f>FAR[[#This Row],[Cost Price (closing balance)]]+FAR[[#This Row],[Accumulated depreciation (Closing balance)]]+FAR[[#This Row],[Accumulated impairments (Closing balance)]]</f>
        <v>0</v>
      </c>
      <c r="BT302" s="13"/>
      <c r="BU302" s="13"/>
      <c r="BV302" s="13"/>
      <c r="BW302" s="10" t="s">
        <v>167</v>
      </c>
      <c r="BX302" s="9" t="s">
        <v>168</v>
      </c>
      <c r="BY302" s="10"/>
      <c r="BZ302" t="s">
        <v>940</v>
      </c>
      <c r="CA302"/>
      <c r="CB302" s="34"/>
      <c r="CC302" s="34"/>
      <c r="CD302" s="34"/>
      <c r="CE302" s="141"/>
    </row>
    <row r="303" spans="1:83">
      <c r="A303" s="35">
        <v>1190</v>
      </c>
      <c r="B303" s="9" t="s">
        <v>866</v>
      </c>
      <c r="C303" s="9" t="s">
        <v>54</v>
      </c>
      <c r="D303" s="10" t="s">
        <v>1</v>
      </c>
      <c r="E303" s="9" t="s">
        <v>115</v>
      </c>
      <c r="F303" s="36" t="s">
        <v>99</v>
      </c>
      <c r="G303" s="9" t="s">
        <v>100</v>
      </c>
      <c r="H303" s="3" t="s">
        <v>128</v>
      </c>
      <c r="I303" s="9" t="s">
        <v>100</v>
      </c>
      <c r="J303" s="36" t="s">
        <v>101</v>
      </c>
      <c r="K303" s="10" t="s">
        <v>559</v>
      </c>
      <c r="L303" s="10" t="s">
        <v>559</v>
      </c>
      <c r="M303" s="9" t="s">
        <v>100</v>
      </c>
      <c r="N303" s="10" t="s">
        <v>494</v>
      </c>
      <c r="O303" s="9" t="s">
        <v>100</v>
      </c>
      <c r="P303" s="10"/>
      <c r="Q303" s="10" t="s">
        <v>494</v>
      </c>
      <c r="R303" s="10" t="s">
        <v>119</v>
      </c>
      <c r="S303" s="10" t="s">
        <v>130</v>
      </c>
      <c r="T303" s="10" t="s">
        <v>120</v>
      </c>
      <c r="U303" s="10" t="s">
        <v>101</v>
      </c>
      <c r="V303" s="10" t="s">
        <v>121</v>
      </c>
      <c r="W303" s="10" t="s">
        <v>122</v>
      </c>
      <c r="X303" s="10" t="s">
        <v>123</v>
      </c>
      <c r="Y303" s="29">
        <v>1</v>
      </c>
      <c r="Z303" s="138" t="s">
        <v>575</v>
      </c>
      <c r="AA303" s="138">
        <v>39259</v>
      </c>
      <c r="AB303" s="9" t="s">
        <v>114</v>
      </c>
      <c r="AC303" s="9" t="s">
        <v>124</v>
      </c>
      <c r="AD303" s="15">
        <v>44651</v>
      </c>
      <c r="AE303" s="39" t="s">
        <v>125</v>
      </c>
      <c r="AF303" s="177">
        <v>6</v>
      </c>
      <c r="AG303" s="140">
        <v>0</v>
      </c>
      <c r="AH303" s="9">
        <v>0</v>
      </c>
      <c r="AI303" s="10" t="s">
        <v>126</v>
      </c>
      <c r="AJ303" s="10"/>
      <c r="AK303" s="29"/>
      <c r="AL303" s="12">
        <v>1</v>
      </c>
      <c r="AM303" s="10"/>
      <c r="AN303" s="12">
        <f>FAR[[#This Row],[Opening RUL]]+FAR[[#This Row],[RUL Adjustment]]</f>
        <v>1</v>
      </c>
      <c r="AO303" s="12">
        <f>FAR[[#This Row],[Opening RUL 30 June 2026]]-1</f>
        <v>0</v>
      </c>
      <c r="AP303" s="12" t="s">
        <v>1051</v>
      </c>
      <c r="AQ303" s="139"/>
      <c r="AR303" s="10" t="s">
        <v>127</v>
      </c>
      <c r="AS303" s="13">
        <v>3967.63</v>
      </c>
      <c r="AT303" s="13"/>
      <c r="AU303" s="13">
        <v>0</v>
      </c>
      <c r="AV303" s="13">
        <v>0</v>
      </c>
      <c r="AW303" s="13">
        <v>0</v>
      </c>
      <c r="AX303" s="13">
        <v>3967.63</v>
      </c>
      <c r="AY303" s="13">
        <v>220.42388888888854</v>
      </c>
      <c r="AZ303" s="13">
        <v>0</v>
      </c>
      <c r="BA303" s="13"/>
      <c r="BB303" s="13"/>
      <c r="BC303" s="13">
        <v>-3747.2061111111116</v>
      </c>
      <c r="BD303" s="13"/>
      <c r="BE303" s="13" t="s">
        <v>114</v>
      </c>
      <c r="BF303" s="29"/>
      <c r="BG303" s="13"/>
      <c r="BH303" s="13">
        <f>-FAR[[#This Row],[Carrying value (opening balance)]]/FAR[[#This Row],[Opening RUL 30 June 2026]]</f>
        <v>-220.42388888888854</v>
      </c>
      <c r="BI303" s="13">
        <f>FAR[[#This Row],[Depreciation YTD]]/12</f>
        <v>-18.36865740740738</v>
      </c>
      <c r="BJ303" s="13"/>
      <c r="BK303" s="13" t="s">
        <v>116</v>
      </c>
      <c r="BL303" s="13">
        <v>0</v>
      </c>
      <c r="BM303" s="13">
        <f>FAR[[#This Row],[Accumulated depreciation (Opening balance)]]+FAR[[#This Row],[Depreciation YTD]]+FAR[[#This Row],[Derecognitions (acc dep) '[+']]]</f>
        <v>-3967.63</v>
      </c>
      <c r="BN303" s="13"/>
      <c r="BO303" s="13"/>
      <c r="BP303" s="13"/>
      <c r="BQ303" s="13"/>
      <c r="BR30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03" s="13">
        <f>FAR[[#This Row],[Cost Price (closing balance)]]+FAR[[#This Row],[Accumulated depreciation (Closing balance)]]+FAR[[#This Row],[Accumulated impairments (Closing balance)]]</f>
        <v>0</v>
      </c>
      <c r="BT303" s="13"/>
      <c r="BU303" s="13"/>
      <c r="BV303" s="13"/>
      <c r="BW303" s="10" t="s">
        <v>167</v>
      </c>
      <c r="BX303" s="9" t="s">
        <v>168</v>
      </c>
      <c r="BY303" s="10"/>
      <c r="BZ303" t="s">
        <v>983</v>
      </c>
      <c r="CA303"/>
      <c r="CB303" s="34"/>
      <c r="CC303" s="34"/>
      <c r="CD303" s="34"/>
      <c r="CE303" s="141"/>
    </row>
    <row r="304" spans="1:83">
      <c r="A304" s="35" t="s">
        <v>601</v>
      </c>
      <c r="B304" s="9" t="s">
        <v>914</v>
      </c>
      <c r="C304" s="9" t="s">
        <v>54</v>
      </c>
      <c r="D304" s="10" t="s">
        <v>1</v>
      </c>
      <c r="E304" s="9" t="s">
        <v>115</v>
      </c>
      <c r="F304" s="36" t="s">
        <v>99</v>
      </c>
      <c r="G304" s="9" t="s">
        <v>100</v>
      </c>
      <c r="H304" s="3" t="s">
        <v>623</v>
      </c>
      <c r="I304" s="9" t="s">
        <v>100</v>
      </c>
      <c r="J304" s="36" t="s">
        <v>101</v>
      </c>
      <c r="K304" s="10" t="s">
        <v>559</v>
      </c>
      <c r="L304" s="10" t="s">
        <v>559</v>
      </c>
      <c r="M304" s="9" t="s">
        <v>100</v>
      </c>
      <c r="N304" s="10" t="s">
        <v>624</v>
      </c>
      <c r="O304" s="9" t="s">
        <v>100</v>
      </c>
      <c r="P304" s="10"/>
      <c r="Q304" s="10" t="s">
        <v>624</v>
      </c>
      <c r="R304" s="10" t="s">
        <v>119</v>
      </c>
      <c r="S304" s="10" t="s">
        <v>130</v>
      </c>
      <c r="T304" s="10" t="s">
        <v>120</v>
      </c>
      <c r="U304" s="10" t="s">
        <v>101</v>
      </c>
      <c r="V304" s="10" t="s">
        <v>121</v>
      </c>
      <c r="W304" s="10" t="s">
        <v>122</v>
      </c>
      <c r="X304" s="10" t="s">
        <v>123</v>
      </c>
      <c r="Y304" s="29">
        <v>1</v>
      </c>
      <c r="Z304" s="138" t="s">
        <v>660</v>
      </c>
      <c r="AA304" s="138">
        <v>38456</v>
      </c>
      <c r="AB304" s="9" t="s">
        <v>114</v>
      </c>
      <c r="AC304" s="9" t="s">
        <v>124</v>
      </c>
      <c r="AD304" s="15">
        <v>44651</v>
      </c>
      <c r="AE304" s="39" t="s">
        <v>125</v>
      </c>
      <c r="AF304" s="177">
        <v>6</v>
      </c>
      <c r="AG304" s="140">
        <v>0</v>
      </c>
      <c r="AH304" s="9">
        <v>0</v>
      </c>
      <c r="AI304" s="10" t="s">
        <v>126</v>
      </c>
      <c r="AJ304" s="10"/>
      <c r="AK304" s="29"/>
      <c r="AL304" s="12">
        <v>1</v>
      </c>
      <c r="AM304" s="10"/>
      <c r="AN304" s="12">
        <f>FAR[[#This Row],[Opening RUL]]+FAR[[#This Row],[RUL Adjustment]]</f>
        <v>1</v>
      </c>
      <c r="AO304" s="12">
        <f>FAR[[#This Row],[Opening RUL 30 June 2026]]-1</f>
        <v>0</v>
      </c>
      <c r="AP304" s="12" t="s">
        <v>1050</v>
      </c>
      <c r="AQ304" s="139"/>
      <c r="AR304" s="10" t="s">
        <v>127</v>
      </c>
      <c r="AS304" s="13">
        <v>2699</v>
      </c>
      <c r="AT304" s="13"/>
      <c r="AU304" s="13">
        <v>0</v>
      </c>
      <c r="AV304" s="13">
        <v>0</v>
      </c>
      <c r="AW304" s="13">
        <v>0</v>
      </c>
      <c r="AX304" s="13">
        <v>2699</v>
      </c>
      <c r="AY304" s="13">
        <v>149.94444444444434</v>
      </c>
      <c r="AZ304" s="13">
        <v>0</v>
      </c>
      <c r="BA304" s="13"/>
      <c r="BB304" s="13"/>
      <c r="BC304" s="13">
        <v>-2549.0555555555557</v>
      </c>
      <c r="BD304" s="13"/>
      <c r="BE304" s="13" t="s">
        <v>114</v>
      </c>
      <c r="BF304" s="29"/>
      <c r="BG304" s="13"/>
      <c r="BH304" s="13">
        <f>-FAR[[#This Row],[Carrying value (opening balance)]]/FAR[[#This Row],[Opening RUL 30 June 2026]]</f>
        <v>-149.94444444444434</v>
      </c>
      <c r="BI304" s="13">
        <f>FAR[[#This Row],[Depreciation YTD]]/12</f>
        <v>-12.495370370370361</v>
      </c>
      <c r="BJ304" s="13"/>
      <c r="BK304" s="13" t="s">
        <v>116</v>
      </c>
      <c r="BL304" s="13">
        <v>0</v>
      </c>
      <c r="BM304" s="13">
        <f>FAR[[#This Row],[Accumulated depreciation (Opening balance)]]+FAR[[#This Row],[Depreciation YTD]]+FAR[[#This Row],[Derecognitions (acc dep) '[+']]]</f>
        <v>-2699</v>
      </c>
      <c r="BN304" s="13"/>
      <c r="BO304" s="13"/>
      <c r="BP304" s="13"/>
      <c r="BQ304" s="13"/>
      <c r="BR30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04" s="13">
        <f>FAR[[#This Row],[Cost Price (closing balance)]]+FAR[[#This Row],[Accumulated depreciation (Closing balance)]]+FAR[[#This Row],[Accumulated impairments (Closing balance)]]</f>
        <v>0</v>
      </c>
      <c r="BT304" s="13"/>
      <c r="BU304" s="13"/>
      <c r="BV304" s="13"/>
      <c r="BW304" s="10" t="s">
        <v>167</v>
      </c>
      <c r="BX304" s="9" t="s">
        <v>168</v>
      </c>
      <c r="BY304" s="10"/>
      <c r="BZ304" t="s">
        <v>938</v>
      </c>
      <c r="CA304"/>
      <c r="CB304" s="34"/>
      <c r="CC304" s="34"/>
      <c r="CD304" s="34"/>
      <c r="CE304" s="141"/>
    </row>
    <row r="305" spans="1:83">
      <c r="A305" s="35" t="s">
        <v>602</v>
      </c>
      <c r="B305" s="9">
        <v>0</v>
      </c>
      <c r="C305" s="9" t="s">
        <v>54</v>
      </c>
      <c r="D305" s="10" t="s">
        <v>1</v>
      </c>
      <c r="E305" s="9" t="s">
        <v>115</v>
      </c>
      <c r="F305" s="36" t="s">
        <v>99</v>
      </c>
      <c r="G305" s="9" t="s">
        <v>100</v>
      </c>
      <c r="H305" s="3" t="s">
        <v>623</v>
      </c>
      <c r="I305" s="9" t="s">
        <v>100</v>
      </c>
      <c r="J305" s="36" t="s">
        <v>101</v>
      </c>
      <c r="K305" s="10" t="s">
        <v>559</v>
      </c>
      <c r="L305" s="10" t="s">
        <v>559</v>
      </c>
      <c r="M305" s="9" t="s">
        <v>100</v>
      </c>
      <c r="N305" s="10" t="s">
        <v>625</v>
      </c>
      <c r="O305" s="9" t="s">
        <v>100</v>
      </c>
      <c r="P305" s="10"/>
      <c r="Q305" s="10" t="s">
        <v>625</v>
      </c>
      <c r="R305" s="10" t="s">
        <v>119</v>
      </c>
      <c r="S305" s="10" t="s">
        <v>130</v>
      </c>
      <c r="T305" s="10" t="s">
        <v>120</v>
      </c>
      <c r="U305" s="10" t="s">
        <v>101</v>
      </c>
      <c r="V305" s="10" t="s">
        <v>121</v>
      </c>
      <c r="W305" s="10" t="s">
        <v>122</v>
      </c>
      <c r="X305" s="10" t="s">
        <v>123</v>
      </c>
      <c r="Y305" s="29">
        <v>1</v>
      </c>
      <c r="Z305" s="138" t="s">
        <v>661</v>
      </c>
      <c r="AA305" s="138">
        <v>39518</v>
      </c>
      <c r="AB305" s="9" t="s">
        <v>114</v>
      </c>
      <c r="AC305" s="9" t="s">
        <v>124</v>
      </c>
      <c r="AD305" s="15">
        <v>44651</v>
      </c>
      <c r="AE305" s="39" t="s">
        <v>125</v>
      </c>
      <c r="AF305" s="177">
        <v>6</v>
      </c>
      <c r="AG305" s="140">
        <v>0</v>
      </c>
      <c r="AH305" s="9">
        <v>0</v>
      </c>
      <c r="AI305" s="10" t="s">
        <v>126</v>
      </c>
      <c r="AJ305" s="10"/>
      <c r="AK305" s="29"/>
      <c r="AL305" s="12">
        <v>1</v>
      </c>
      <c r="AM305" s="10"/>
      <c r="AN305" s="12">
        <f>FAR[[#This Row],[Opening RUL]]+FAR[[#This Row],[RUL Adjustment]]</f>
        <v>1</v>
      </c>
      <c r="AO305" s="12">
        <f>FAR[[#This Row],[Opening RUL 30 June 2026]]-1</f>
        <v>0</v>
      </c>
      <c r="AP305" s="12">
        <v>0</v>
      </c>
      <c r="AQ305" s="139"/>
      <c r="AR305" s="10" t="s">
        <v>127</v>
      </c>
      <c r="AS305" s="13">
        <v>439.96</v>
      </c>
      <c r="AT305" s="13"/>
      <c r="AU305" s="13">
        <v>0</v>
      </c>
      <c r="AV305" s="13">
        <v>0</v>
      </c>
      <c r="AW305" s="13">
        <v>0</v>
      </c>
      <c r="AX305" s="13">
        <v>439.96</v>
      </c>
      <c r="AY305" s="13">
        <v>24.442222222222256</v>
      </c>
      <c r="AZ305" s="13">
        <v>0</v>
      </c>
      <c r="BA305" s="13"/>
      <c r="BB305" s="13"/>
      <c r="BC305" s="13">
        <v>-415.51777777777772</v>
      </c>
      <c r="BD305" s="13"/>
      <c r="BE305" s="13" t="s">
        <v>114</v>
      </c>
      <c r="BF305" s="29"/>
      <c r="BG305" s="13"/>
      <c r="BH305" s="13">
        <f>-FAR[[#This Row],[Carrying value (opening balance)]]/FAR[[#This Row],[Opening RUL 30 June 2026]]</f>
        <v>-24.442222222222256</v>
      </c>
      <c r="BI305" s="13">
        <f>FAR[[#This Row],[Depreciation YTD]]/12</f>
        <v>-2.0368518518518548</v>
      </c>
      <c r="BJ305" s="13"/>
      <c r="BK305" s="13" t="s">
        <v>116</v>
      </c>
      <c r="BL305" s="13">
        <v>0</v>
      </c>
      <c r="BM305" s="13">
        <f>FAR[[#This Row],[Accumulated depreciation (Opening balance)]]+FAR[[#This Row],[Depreciation YTD]]+FAR[[#This Row],[Derecognitions (acc dep) '[+']]]</f>
        <v>-439.96</v>
      </c>
      <c r="BN305" s="13"/>
      <c r="BO305" s="13"/>
      <c r="BP305" s="13"/>
      <c r="BQ305" s="13"/>
      <c r="BR30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05" s="13">
        <f>FAR[[#This Row],[Cost Price (closing balance)]]+FAR[[#This Row],[Accumulated depreciation (Closing balance)]]+FAR[[#This Row],[Accumulated impairments (Closing balance)]]</f>
        <v>0</v>
      </c>
      <c r="BT305" s="13"/>
      <c r="BU305" s="13"/>
      <c r="BV305" s="13"/>
      <c r="BW305" s="10" t="s">
        <v>167</v>
      </c>
      <c r="BX305" s="9" t="s">
        <v>168</v>
      </c>
      <c r="BY305" s="10"/>
      <c r="BZ305">
        <v>0</v>
      </c>
      <c r="CA305"/>
      <c r="CB305" s="34"/>
      <c r="CC305" s="34"/>
      <c r="CD305" s="34"/>
      <c r="CE305" s="141"/>
    </row>
    <row r="306" spans="1:83">
      <c r="A306" s="35" t="s">
        <v>603</v>
      </c>
      <c r="B306" s="9">
        <v>0</v>
      </c>
      <c r="C306" s="9" t="s">
        <v>54</v>
      </c>
      <c r="D306" s="10" t="s">
        <v>1</v>
      </c>
      <c r="E306" s="9" t="s">
        <v>115</v>
      </c>
      <c r="F306" s="36" t="s">
        <v>99</v>
      </c>
      <c r="G306" s="9" t="s">
        <v>100</v>
      </c>
      <c r="H306" s="3" t="s">
        <v>623</v>
      </c>
      <c r="I306" s="9" t="s">
        <v>100</v>
      </c>
      <c r="J306" s="36" t="s">
        <v>101</v>
      </c>
      <c r="K306" s="10" t="s">
        <v>559</v>
      </c>
      <c r="L306" s="10" t="s">
        <v>559</v>
      </c>
      <c r="M306" s="9" t="s">
        <v>100</v>
      </c>
      <c r="N306" s="10" t="s">
        <v>626</v>
      </c>
      <c r="O306" s="9" t="s">
        <v>100</v>
      </c>
      <c r="P306" s="10"/>
      <c r="Q306" s="10" t="s">
        <v>626</v>
      </c>
      <c r="R306" s="10" t="s">
        <v>119</v>
      </c>
      <c r="S306" s="10" t="s">
        <v>130</v>
      </c>
      <c r="T306" s="10" t="s">
        <v>120</v>
      </c>
      <c r="U306" s="10" t="s">
        <v>101</v>
      </c>
      <c r="V306" s="10" t="s">
        <v>121</v>
      </c>
      <c r="W306" s="10" t="s">
        <v>122</v>
      </c>
      <c r="X306" s="10" t="s">
        <v>123</v>
      </c>
      <c r="Y306" s="29">
        <v>1</v>
      </c>
      <c r="Z306" s="138" t="s">
        <v>577</v>
      </c>
      <c r="AA306" s="138">
        <v>39596</v>
      </c>
      <c r="AB306" s="9" t="s">
        <v>114</v>
      </c>
      <c r="AC306" s="9" t="s">
        <v>124</v>
      </c>
      <c r="AD306" s="15">
        <v>44651</v>
      </c>
      <c r="AE306" s="39" t="s">
        <v>125</v>
      </c>
      <c r="AF306" s="177">
        <v>6</v>
      </c>
      <c r="AG306" s="140">
        <v>0</v>
      </c>
      <c r="AH306" s="9">
        <v>0</v>
      </c>
      <c r="AI306" s="10" t="s">
        <v>126</v>
      </c>
      <c r="AJ306" s="10"/>
      <c r="AK306" s="29"/>
      <c r="AL306" s="12">
        <v>1</v>
      </c>
      <c r="AM306" s="10"/>
      <c r="AN306" s="12">
        <f>FAR[[#This Row],[Opening RUL]]+FAR[[#This Row],[RUL Adjustment]]</f>
        <v>1</v>
      </c>
      <c r="AO306" s="12">
        <f>FAR[[#This Row],[Opening RUL 30 June 2026]]-1</f>
        <v>0</v>
      </c>
      <c r="AP306" s="12">
        <v>0</v>
      </c>
      <c r="AQ306" s="139"/>
      <c r="AR306" s="10" t="s">
        <v>127</v>
      </c>
      <c r="AS306" s="13">
        <v>399</v>
      </c>
      <c r="AT306" s="13"/>
      <c r="AU306" s="13">
        <v>0</v>
      </c>
      <c r="AV306" s="13">
        <v>0</v>
      </c>
      <c r="AW306" s="13">
        <v>0</v>
      </c>
      <c r="AX306" s="13">
        <v>399</v>
      </c>
      <c r="AY306" s="13">
        <v>22.166666666666629</v>
      </c>
      <c r="AZ306" s="13">
        <v>0</v>
      </c>
      <c r="BA306" s="13"/>
      <c r="BB306" s="13"/>
      <c r="BC306" s="13">
        <v>-376.83333333333337</v>
      </c>
      <c r="BD306" s="13"/>
      <c r="BE306" s="13" t="s">
        <v>114</v>
      </c>
      <c r="BF306" s="29"/>
      <c r="BG306" s="13"/>
      <c r="BH306" s="13">
        <f>-FAR[[#This Row],[Carrying value (opening balance)]]/FAR[[#This Row],[Opening RUL 30 June 2026]]</f>
        <v>-22.166666666666629</v>
      </c>
      <c r="BI306" s="13">
        <f>FAR[[#This Row],[Depreciation YTD]]/12</f>
        <v>-1.847222222222219</v>
      </c>
      <c r="BJ306" s="13"/>
      <c r="BK306" s="13" t="s">
        <v>116</v>
      </c>
      <c r="BL306" s="13">
        <v>0</v>
      </c>
      <c r="BM306" s="13">
        <f>FAR[[#This Row],[Accumulated depreciation (Opening balance)]]+FAR[[#This Row],[Depreciation YTD]]+FAR[[#This Row],[Derecognitions (acc dep) '[+']]]</f>
        <v>-399</v>
      </c>
      <c r="BN306" s="13"/>
      <c r="BO306" s="13"/>
      <c r="BP306" s="13"/>
      <c r="BQ306" s="13"/>
      <c r="BR30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06" s="13">
        <f>FAR[[#This Row],[Cost Price (closing balance)]]+FAR[[#This Row],[Accumulated depreciation (Closing balance)]]+FAR[[#This Row],[Accumulated impairments (Closing balance)]]</f>
        <v>0</v>
      </c>
      <c r="BT306" s="13"/>
      <c r="BU306" s="13"/>
      <c r="BV306" s="13"/>
      <c r="BW306" s="10" t="s">
        <v>167</v>
      </c>
      <c r="BX306" s="9" t="s">
        <v>168</v>
      </c>
      <c r="BY306" s="10"/>
      <c r="BZ306">
        <v>0</v>
      </c>
      <c r="CA306"/>
      <c r="CB306" s="34"/>
      <c r="CC306" s="34"/>
      <c r="CD306" s="34"/>
      <c r="CE306" s="141"/>
    </row>
    <row r="307" spans="1:83">
      <c r="A307" s="35" t="s">
        <v>604</v>
      </c>
      <c r="B307" s="9" t="s">
        <v>916</v>
      </c>
      <c r="C307" s="9" t="s">
        <v>54</v>
      </c>
      <c r="D307" s="10" t="s">
        <v>1</v>
      </c>
      <c r="E307" s="9" t="s">
        <v>115</v>
      </c>
      <c r="F307" s="36" t="s">
        <v>99</v>
      </c>
      <c r="G307" s="9" t="s">
        <v>100</v>
      </c>
      <c r="H307" s="3" t="s">
        <v>623</v>
      </c>
      <c r="I307" s="9" t="s">
        <v>100</v>
      </c>
      <c r="J307" s="36" t="s">
        <v>101</v>
      </c>
      <c r="K307" s="10" t="s">
        <v>559</v>
      </c>
      <c r="L307" s="10" t="s">
        <v>559</v>
      </c>
      <c r="M307" s="9" t="s">
        <v>100</v>
      </c>
      <c r="N307" s="10" t="s">
        <v>627</v>
      </c>
      <c r="O307" s="9" t="s">
        <v>100</v>
      </c>
      <c r="P307" s="10"/>
      <c r="Q307" s="10" t="s">
        <v>627</v>
      </c>
      <c r="R307" s="10" t="s">
        <v>119</v>
      </c>
      <c r="S307" s="10" t="s">
        <v>130</v>
      </c>
      <c r="T307" s="10" t="s">
        <v>120</v>
      </c>
      <c r="U307" s="10" t="s">
        <v>101</v>
      </c>
      <c r="V307" s="10" t="s">
        <v>121</v>
      </c>
      <c r="W307" s="10" t="s">
        <v>122</v>
      </c>
      <c r="X307" s="10" t="s">
        <v>123</v>
      </c>
      <c r="Y307" s="29">
        <v>1</v>
      </c>
      <c r="Z307" s="138" t="s">
        <v>662</v>
      </c>
      <c r="AA307" s="138">
        <v>39941</v>
      </c>
      <c r="AB307" s="9" t="s">
        <v>114</v>
      </c>
      <c r="AC307" s="9" t="s">
        <v>124</v>
      </c>
      <c r="AD307" s="15">
        <v>44651</v>
      </c>
      <c r="AE307" s="39" t="s">
        <v>125</v>
      </c>
      <c r="AF307" s="177">
        <v>6</v>
      </c>
      <c r="AG307" s="140">
        <v>0</v>
      </c>
      <c r="AH307" s="9">
        <v>0</v>
      </c>
      <c r="AI307" s="10" t="s">
        <v>126</v>
      </c>
      <c r="AJ307" s="10"/>
      <c r="AK307" s="29"/>
      <c r="AL307" s="12">
        <v>1</v>
      </c>
      <c r="AM307" s="10"/>
      <c r="AN307" s="12">
        <f>FAR[[#This Row],[Opening RUL]]+FAR[[#This Row],[RUL Adjustment]]</f>
        <v>1</v>
      </c>
      <c r="AO307" s="12">
        <f>FAR[[#This Row],[Opening RUL 30 June 2026]]-1</f>
        <v>0</v>
      </c>
      <c r="AP307" s="12" t="s">
        <v>1050</v>
      </c>
      <c r="AQ307" s="139"/>
      <c r="AR307" s="10" t="s">
        <v>127</v>
      </c>
      <c r="AS307" s="13">
        <v>1968.11</v>
      </c>
      <c r="AT307" s="13"/>
      <c r="AU307" s="13">
        <v>0</v>
      </c>
      <c r="AV307" s="13">
        <v>0</v>
      </c>
      <c r="AW307" s="13">
        <v>0</v>
      </c>
      <c r="AX307" s="13">
        <v>1968.11</v>
      </c>
      <c r="AY307" s="13">
        <v>109.33944444444455</v>
      </c>
      <c r="AZ307" s="13">
        <v>0</v>
      </c>
      <c r="BA307" s="13"/>
      <c r="BB307" s="13"/>
      <c r="BC307" s="13">
        <v>-1858.7705555555553</v>
      </c>
      <c r="BD307" s="13"/>
      <c r="BE307" s="13" t="s">
        <v>114</v>
      </c>
      <c r="BF307" s="29"/>
      <c r="BG307" s="13"/>
      <c r="BH307" s="13">
        <f>-FAR[[#This Row],[Carrying value (opening balance)]]/FAR[[#This Row],[Opening RUL 30 June 2026]]</f>
        <v>-109.33944444444455</v>
      </c>
      <c r="BI307" s="13">
        <f>FAR[[#This Row],[Depreciation YTD]]/12</f>
        <v>-9.11162037037038</v>
      </c>
      <c r="BJ307" s="13"/>
      <c r="BK307" s="13" t="s">
        <v>116</v>
      </c>
      <c r="BL307" s="13">
        <v>0</v>
      </c>
      <c r="BM307" s="13">
        <f>FAR[[#This Row],[Accumulated depreciation (Opening balance)]]+FAR[[#This Row],[Depreciation YTD]]+FAR[[#This Row],[Derecognitions (acc dep) '[+']]]</f>
        <v>-1968.11</v>
      </c>
      <c r="BN307" s="13"/>
      <c r="BO307" s="13"/>
      <c r="BP307" s="13"/>
      <c r="BQ307" s="13"/>
      <c r="BR30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07" s="13">
        <f>FAR[[#This Row],[Cost Price (closing balance)]]+FAR[[#This Row],[Accumulated depreciation (Closing balance)]]+FAR[[#This Row],[Accumulated impairments (Closing balance)]]</f>
        <v>0</v>
      </c>
      <c r="BT307" s="13"/>
      <c r="BU307" s="13"/>
      <c r="BV307" s="13"/>
      <c r="BW307" s="10" t="s">
        <v>167</v>
      </c>
      <c r="BX307" s="9" t="s">
        <v>168</v>
      </c>
      <c r="BY307" s="10"/>
      <c r="BZ307" t="s">
        <v>1015</v>
      </c>
      <c r="CA307"/>
      <c r="CB307" s="34"/>
      <c r="CC307" s="34"/>
      <c r="CD307" s="34"/>
      <c r="CE307" s="141"/>
    </row>
    <row r="308" spans="1:83">
      <c r="A308" s="35" t="s">
        <v>605</v>
      </c>
      <c r="B308" s="9" t="s">
        <v>853</v>
      </c>
      <c r="C308" s="9" t="s">
        <v>54</v>
      </c>
      <c r="D308" s="10" t="s">
        <v>1</v>
      </c>
      <c r="E308" s="9" t="s">
        <v>115</v>
      </c>
      <c r="F308" s="36" t="s">
        <v>99</v>
      </c>
      <c r="G308" s="9" t="s">
        <v>100</v>
      </c>
      <c r="H308" s="3" t="s">
        <v>623</v>
      </c>
      <c r="I308" s="9" t="s">
        <v>100</v>
      </c>
      <c r="J308" s="36" t="s">
        <v>101</v>
      </c>
      <c r="K308" s="10" t="s">
        <v>559</v>
      </c>
      <c r="L308" s="10" t="s">
        <v>559</v>
      </c>
      <c r="M308" s="9" t="s">
        <v>100</v>
      </c>
      <c r="N308" s="10" t="s">
        <v>627</v>
      </c>
      <c r="O308" s="9" t="s">
        <v>100</v>
      </c>
      <c r="P308" s="10"/>
      <c r="Q308" s="10" t="s">
        <v>627</v>
      </c>
      <c r="R308" s="10" t="s">
        <v>119</v>
      </c>
      <c r="S308" s="10" t="s">
        <v>130</v>
      </c>
      <c r="T308" s="10" t="s">
        <v>120</v>
      </c>
      <c r="U308" s="10" t="s">
        <v>101</v>
      </c>
      <c r="V308" s="10" t="s">
        <v>121</v>
      </c>
      <c r="W308" s="10" t="s">
        <v>122</v>
      </c>
      <c r="X308" s="10" t="s">
        <v>123</v>
      </c>
      <c r="Y308" s="29">
        <v>1</v>
      </c>
      <c r="Z308" s="138" t="s">
        <v>662</v>
      </c>
      <c r="AA308" s="138">
        <v>39941</v>
      </c>
      <c r="AB308" s="9" t="s">
        <v>114</v>
      </c>
      <c r="AC308" s="9" t="s">
        <v>124</v>
      </c>
      <c r="AD308" s="15">
        <v>44651</v>
      </c>
      <c r="AE308" s="39" t="s">
        <v>125</v>
      </c>
      <c r="AF308" s="177">
        <v>6</v>
      </c>
      <c r="AG308" s="140">
        <v>0</v>
      </c>
      <c r="AH308" s="9">
        <v>0</v>
      </c>
      <c r="AI308" s="10" t="s">
        <v>126</v>
      </c>
      <c r="AJ308" s="10"/>
      <c r="AK308" s="29"/>
      <c r="AL308" s="12">
        <v>1</v>
      </c>
      <c r="AM308" s="10"/>
      <c r="AN308" s="12">
        <f>FAR[[#This Row],[Opening RUL]]+FAR[[#This Row],[RUL Adjustment]]</f>
        <v>1</v>
      </c>
      <c r="AO308" s="12">
        <f>FAR[[#This Row],[Opening RUL 30 June 2026]]-1</f>
        <v>0</v>
      </c>
      <c r="AP308" s="12" t="s">
        <v>1050</v>
      </c>
      <c r="AQ308" s="139"/>
      <c r="AR308" s="10" t="s">
        <v>127</v>
      </c>
      <c r="AS308" s="13">
        <v>9968.11</v>
      </c>
      <c r="AT308" s="13"/>
      <c r="AU308" s="13">
        <v>0</v>
      </c>
      <c r="AV308" s="13">
        <v>0</v>
      </c>
      <c r="AW308" s="13">
        <v>0</v>
      </c>
      <c r="AX308" s="13">
        <v>9968.11</v>
      </c>
      <c r="AY308" s="13">
        <v>553.78388888888912</v>
      </c>
      <c r="AZ308" s="13">
        <v>0</v>
      </c>
      <c r="BA308" s="13"/>
      <c r="BB308" s="13"/>
      <c r="BC308" s="13">
        <v>-9414.3261111111115</v>
      </c>
      <c r="BD308" s="13"/>
      <c r="BE308" s="13" t="s">
        <v>114</v>
      </c>
      <c r="BF308" s="29"/>
      <c r="BG308" s="13"/>
      <c r="BH308" s="13">
        <f>-FAR[[#This Row],[Carrying value (opening balance)]]/FAR[[#This Row],[Opening RUL 30 June 2026]]</f>
        <v>-553.78388888888912</v>
      </c>
      <c r="BI308" s="13">
        <f>FAR[[#This Row],[Depreciation YTD]]/12</f>
        <v>-46.148657407407427</v>
      </c>
      <c r="BJ308" s="13"/>
      <c r="BK308" s="13" t="s">
        <v>116</v>
      </c>
      <c r="BL308" s="13">
        <v>0</v>
      </c>
      <c r="BM308" s="13">
        <f>FAR[[#This Row],[Accumulated depreciation (Opening balance)]]+FAR[[#This Row],[Depreciation YTD]]+FAR[[#This Row],[Derecognitions (acc dep) '[+']]]</f>
        <v>-9968.11</v>
      </c>
      <c r="BN308" s="13"/>
      <c r="BO308" s="13"/>
      <c r="BP308" s="13"/>
      <c r="BQ308" s="13"/>
      <c r="BR30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08" s="13">
        <f>FAR[[#This Row],[Cost Price (closing balance)]]+FAR[[#This Row],[Accumulated depreciation (Closing balance)]]+FAR[[#This Row],[Accumulated impairments (Closing balance)]]</f>
        <v>0</v>
      </c>
      <c r="BT308" s="13"/>
      <c r="BU308" s="13"/>
      <c r="BV308" s="13"/>
      <c r="BW308" s="10" t="s">
        <v>167</v>
      </c>
      <c r="BX308" s="9" t="s">
        <v>168</v>
      </c>
      <c r="BY308" s="10"/>
      <c r="BZ308" t="s">
        <v>939</v>
      </c>
      <c r="CA308"/>
      <c r="CB308" s="34"/>
      <c r="CC308" s="34"/>
      <c r="CD308" s="34"/>
      <c r="CE308" s="141"/>
    </row>
    <row r="309" spans="1:83">
      <c r="A309" s="35" t="s">
        <v>606</v>
      </c>
      <c r="B309" s="9" t="s">
        <v>889</v>
      </c>
      <c r="C309" s="9" t="s">
        <v>54</v>
      </c>
      <c r="D309" s="10" t="s">
        <v>1</v>
      </c>
      <c r="E309" s="9" t="s">
        <v>115</v>
      </c>
      <c r="F309" s="36" t="s">
        <v>99</v>
      </c>
      <c r="G309" s="9" t="s">
        <v>100</v>
      </c>
      <c r="H309" s="3" t="s">
        <v>623</v>
      </c>
      <c r="I309" s="9" t="s">
        <v>100</v>
      </c>
      <c r="J309" s="36" t="s">
        <v>101</v>
      </c>
      <c r="K309" s="10" t="s">
        <v>559</v>
      </c>
      <c r="L309" s="10" t="s">
        <v>559</v>
      </c>
      <c r="M309" s="9" t="s">
        <v>100</v>
      </c>
      <c r="N309" s="10" t="s">
        <v>628</v>
      </c>
      <c r="O309" s="9" t="s">
        <v>100</v>
      </c>
      <c r="P309" s="10"/>
      <c r="Q309" s="10" t="s">
        <v>628</v>
      </c>
      <c r="R309" s="10" t="s">
        <v>119</v>
      </c>
      <c r="S309" s="10" t="s">
        <v>130</v>
      </c>
      <c r="T309" s="10" t="s">
        <v>120</v>
      </c>
      <c r="U309" s="10" t="s">
        <v>101</v>
      </c>
      <c r="V309" s="10" t="s">
        <v>121</v>
      </c>
      <c r="W309" s="10" t="s">
        <v>122</v>
      </c>
      <c r="X309" s="10" t="s">
        <v>123</v>
      </c>
      <c r="Y309" s="29">
        <v>1</v>
      </c>
      <c r="Z309" s="138" t="s">
        <v>663</v>
      </c>
      <c r="AA309" s="138">
        <v>40680</v>
      </c>
      <c r="AB309" s="9" t="s">
        <v>114</v>
      </c>
      <c r="AC309" s="9" t="s">
        <v>124</v>
      </c>
      <c r="AD309" s="15">
        <v>44651</v>
      </c>
      <c r="AE309" s="39" t="s">
        <v>125</v>
      </c>
      <c r="AF309" s="177">
        <v>6</v>
      </c>
      <c r="AG309" s="140">
        <v>0</v>
      </c>
      <c r="AH309" s="9">
        <v>0</v>
      </c>
      <c r="AI309" s="10" t="s">
        <v>126</v>
      </c>
      <c r="AJ309" s="10"/>
      <c r="AK309" s="29"/>
      <c r="AL309" s="12">
        <v>1</v>
      </c>
      <c r="AM309" s="10"/>
      <c r="AN309" s="12">
        <f>FAR[[#This Row],[Opening RUL]]+FAR[[#This Row],[RUL Adjustment]]</f>
        <v>1</v>
      </c>
      <c r="AO309" s="12">
        <f>FAR[[#This Row],[Opening RUL 30 June 2026]]-1</f>
        <v>0</v>
      </c>
      <c r="AP309" s="12" t="s">
        <v>1050</v>
      </c>
      <c r="AQ309" s="139"/>
      <c r="AR309" s="10" t="s">
        <v>127</v>
      </c>
      <c r="AS309" s="13">
        <v>18688.849999999999</v>
      </c>
      <c r="AT309" s="13"/>
      <c r="AU309" s="13">
        <v>0</v>
      </c>
      <c r="AV309" s="13">
        <v>0</v>
      </c>
      <c r="AW309" s="13">
        <v>0</v>
      </c>
      <c r="AX309" s="13">
        <v>18688.849999999999</v>
      </c>
      <c r="AY309" s="13">
        <v>1038.2694444444423</v>
      </c>
      <c r="AZ309" s="13">
        <v>0</v>
      </c>
      <c r="BA309" s="13"/>
      <c r="BB309" s="13"/>
      <c r="BC309" s="13">
        <v>-17650.580555555556</v>
      </c>
      <c r="BD309" s="13"/>
      <c r="BE309" s="13" t="s">
        <v>114</v>
      </c>
      <c r="BF309" s="29"/>
      <c r="BG309" s="13"/>
      <c r="BH309" s="13">
        <f>-FAR[[#This Row],[Carrying value (opening balance)]]/FAR[[#This Row],[Opening RUL 30 June 2026]]</f>
        <v>-1038.2694444444423</v>
      </c>
      <c r="BI309" s="13">
        <f>FAR[[#This Row],[Depreciation YTD]]/12</f>
        <v>-86.522453703703533</v>
      </c>
      <c r="BJ309" s="13"/>
      <c r="BK309" s="13" t="s">
        <v>116</v>
      </c>
      <c r="BL309" s="13">
        <v>0</v>
      </c>
      <c r="BM309" s="13">
        <f>FAR[[#This Row],[Accumulated depreciation (Opening balance)]]+FAR[[#This Row],[Depreciation YTD]]+FAR[[#This Row],[Derecognitions (acc dep) '[+']]]</f>
        <v>-18688.849999999999</v>
      </c>
      <c r="BN309" s="13"/>
      <c r="BO309" s="13"/>
      <c r="BP309" s="13"/>
      <c r="BQ309" s="13"/>
      <c r="BR30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09" s="13">
        <f>FAR[[#This Row],[Cost Price (closing balance)]]+FAR[[#This Row],[Accumulated depreciation (Closing balance)]]+FAR[[#This Row],[Accumulated impairments (Closing balance)]]</f>
        <v>0</v>
      </c>
      <c r="BT309" s="13"/>
      <c r="BU309" s="13"/>
      <c r="BV309" s="13"/>
      <c r="BW309" s="10" t="s">
        <v>167</v>
      </c>
      <c r="BX309" s="9" t="s">
        <v>168</v>
      </c>
      <c r="BY309" s="10"/>
      <c r="BZ309" t="s">
        <v>978</v>
      </c>
      <c r="CA309"/>
      <c r="CB309" s="34"/>
      <c r="CC309" s="34"/>
      <c r="CD309" s="34"/>
      <c r="CE309" s="141"/>
    </row>
    <row r="310" spans="1:83">
      <c r="A310" s="35" t="s">
        <v>607</v>
      </c>
      <c r="B310" s="9">
        <v>0</v>
      </c>
      <c r="C310" s="9" t="s">
        <v>54</v>
      </c>
      <c r="D310" s="10" t="s">
        <v>1</v>
      </c>
      <c r="E310" s="9" t="s">
        <v>115</v>
      </c>
      <c r="F310" s="36" t="s">
        <v>99</v>
      </c>
      <c r="G310" s="9" t="s">
        <v>100</v>
      </c>
      <c r="H310" s="3" t="s">
        <v>623</v>
      </c>
      <c r="I310" s="9" t="s">
        <v>100</v>
      </c>
      <c r="J310" s="36" t="s">
        <v>101</v>
      </c>
      <c r="K310" s="10" t="s">
        <v>559</v>
      </c>
      <c r="L310" s="10" t="s">
        <v>559</v>
      </c>
      <c r="M310" s="9" t="s">
        <v>100</v>
      </c>
      <c r="N310" s="10" t="s">
        <v>629</v>
      </c>
      <c r="O310" s="9" t="s">
        <v>100</v>
      </c>
      <c r="P310" s="10"/>
      <c r="Q310" s="10" t="s">
        <v>629</v>
      </c>
      <c r="R310" s="10" t="s">
        <v>119</v>
      </c>
      <c r="S310" s="10" t="s">
        <v>130</v>
      </c>
      <c r="T310" s="10" t="s">
        <v>120</v>
      </c>
      <c r="U310" s="10" t="s">
        <v>101</v>
      </c>
      <c r="V310" s="10" t="s">
        <v>121</v>
      </c>
      <c r="W310" s="10" t="s">
        <v>122</v>
      </c>
      <c r="X310" s="10" t="s">
        <v>123</v>
      </c>
      <c r="Y310" s="29">
        <v>1</v>
      </c>
      <c r="Z310" s="138" t="s">
        <v>659</v>
      </c>
      <c r="AA310" s="138">
        <v>38412</v>
      </c>
      <c r="AB310" s="9" t="s">
        <v>114</v>
      </c>
      <c r="AC310" s="9" t="s">
        <v>124</v>
      </c>
      <c r="AD310" s="15">
        <v>44651</v>
      </c>
      <c r="AE310" s="39" t="s">
        <v>125</v>
      </c>
      <c r="AF310" s="177">
        <v>6</v>
      </c>
      <c r="AG310" s="140">
        <v>0</v>
      </c>
      <c r="AH310" s="9">
        <v>0</v>
      </c>
      <c r="AI310" s="10" t="s">
        <v>126</v>
      </c>
      <c r="AJ310" s="10"/>
      <c r="AK310" s="29"/>
      <c r="AL310" s="12">
        <v>1</v>
      </c>
      <c r="AM310" s="10"/>
      <c r="AN310" s="12">
        <f>FAR[[#This Row],[Opening RUL]]+FAR[[#This Row],[RUL Adjustment]]</f>
        <v>1</v>
      </c>
      <c r="AO310" s="12">
        <f>FAR[[#This Row],[Opening RUL 30 June 2026]]-1</f>
        <v>0</v>
      </c>
      <c r="AP310" s="12">
        <v>0</v>
      </c>
      <c r="AQ310" s="139"/>
      <c r="AR310" s="10" t="s">
        <v>127</v>
      </c>
      <c r="AS310" s="13">
        <v>4722.09</v>
      </c>
      <c r="AT310" s="13"/>
      <c r="AU310" s="13">
        <v>0</v>
      </c>
      <c r="AV310" s="13">
        <v>0</v>
      </c>
      <c r="AW310" s="13">
        <v>0</v>
      </c>
      <c r="AX310" s="13">
        <v>4722.09</v>
      </c>
      <c r="AY310" s="13">
        <v>269</v>
      </c>
      <c r="AZ310" s="13">
        <v>0</v>
      </c>
      <c r="BA310" s="13"/>
      <c r="BB310" s="13"/>
      <c r="BC310" s="13">
        <v>-4453.09</v>
      </c>
      <c r="BD310" s="13"/>
      <c r="BE310" s="13" t="s">
        <v>114</v>
      </c>
      <c r="BF310" s="29"/>
      <c r="BG310" s="13"/>
      <c r="BH310" s="13">
        <f>-FAR[[#This Row],[Carrying value (opening balance)]]/FAR[[#This Row],[Opening RUL 30 June 2026]]</f>
        <v>-269</v>
      </c>
      <c r="BI310" s="13">
        <f>FAR[[#This Row],[Depreciation YTD]]/12</f>
        <v>-22.416666666666668</v>
      </c>
      <c r="BJ310" s="13"/>
      <c r="BK310" s="13" t="s">
        <v>116</v>
      </c>
      <c r="BL310" s="13">
        <v>0</v>
      </c>
      <c r="BM310" s="13">
        <f>FAR[[#This Row],[Accumulated depreciation (Opening balance)]]+FAR[[#This Row],[Depreciation YTD]]+FAR[[#This Row],[Derecognitions (acc dep) '[+']]]</f>
        <v>-4722.09</v>
      </c>
      <c r="BN310" s="13"/>
      <c r="BO310" s="13"/>
      <c r="BP310" s="13"/>
      <c r="BQ310" s="13"/>
      <c r="BR31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10" s="13">
        <f>FAR[[#This Row],[Cost Price (closing balance)]]+FAR[[#This Row],[Accumulated depreciation (Closing balance)]]+FAR[[#This Row],[Accumulated impairments (Closing balance)]]</f>
        <v>0</v>
      </c>
      <c r="BT310" s="13"/>
      <c r="BU310" s="13"/>
      <c r="BV310" s="13"/>
      <c r="BW310" s="10" t="s">
        <v>167</v>
      </c>
      <c r="BX310" s="9" t="s">
        <v>168</v>
      </c>
      <c r="BY310" s="10"/>
      <c r="BZ310">
        <v>0</v>
      </c>
      <c r="CA310"/>
      <c r="CB310" s="34"/>
      <c r="CC310" s="34"/>
      <c r="CD310" s="34"/>
      <c r="CE310" s="141"/>
    </row>
    <row r="311" spans="1:83">
      <c r="A311" s="35" t="s">
        <v>608</v>
      </c>
      <c r="B311" s="9" t="s">
        <v>917</v>
      </c>
      <c r="C311" s="9" t="s">
        <v>54</v>
      </c>
      <c r="D311" s="10" t="s">
        <v>1</v>
      </c>
      <c r="E311" s="9" t="s">
        <v>115</v>
      </c>
      <c r="F311" s="36" t="s">
        <v>99</v>
      </c>
      <c r="G311" s="9" t="s">
        <v>100</v>
      </c>
      <c r="H311" s="3" t="s">
        <v>623</v>
      </c>
      <c r="I311" s="9" t="s">
        <v>100</v>
      </c>
      <c r="J311" s="36" t="s">
        <v>101</v>
      </c>
      <c r="K311" s="10" t="s">
        <v>559</v>
      </c>
      <c r="L311" s="10" t="s">
        <v>559</v>
      </c>
      <c r="M311" s="9" t="s">
        <v>100</v>
      </c>
      <c r="N311" s="10" t="s">
        <v>630</v>
      </c>
      <c r="O311" s="9" t="s">
        <v>100</v>
      </c>
      <c r="P311" s="10"/>
      <c r="Q311" s="10" t="s">
        <v>630</v>
      </c>
      <c r="R311" s="10" t="s">
        <v>119</v>
      </c>
      <c r="S311" s="10" t="s">
        <v>130</v>
      </c>
      <c r="T311" s="10" t="s">
        <v>120</v>
      </c>
      <c r="U311" s="10" t="s">
        <v>101</v>
      </c>
      <c r="V311" s="10" t="s">
        <v>121</v>
      </c>
      <c r="W311" s="10" t="s">
        <v>122</v>
      </c>
      <c r="X311" s="10" t="s">
        <v>123</v>
      </c>
      <c r="Y311" s="29">
        <v>1</v>
      </c>
      <c r="Z311" s="138" t="s">
        <v>664</v>
      </c>
      <c r="AA311" s="138">
        <v>39973</v>
      </c>
      <c r="AB311" s="9" t="s">
        <v>114</v>
      </c>
      <c r="AC311" s="9" t="s">
        <v>124</v>
      </c>
      <c r="AD311" s="15">
        <v>44651</v>
      </c>
      <c r="AE311" s="39" t="s">
        <v>125</v>
      </c>
      <c r="AF311" s="177">
        <v>6</v>
      </c>
      <c r="AG311" s="140">
        <v>0</v>
      </c>
      <c r="AH311" s="9">
        <v>0</v>
      </c>
      <c r="AI311" s="10" t="s">
        <v>126</v>
      </c>
      <c r="AJ311" s="10"/>
      <c r="AK311" s="29"/>
      <c r="AL311" s="12">
        <v>1</v>
      </c>
      <c r="AM311" s="10"/>
      <c r="AN311" s="12">
        <f>FAR[[#This Row],[Opening RUL]]+FAR[[#This Row],[RUL Adjustment]]</f>
        <v>1</v>
      </c>
      <c r="AO311" s="12">
        <f>FAR[[#This Row],[Opening RUL 30 June 2026]]-1</f>
        <v>0</v>
      </c>
      <c r="AP311" s="12" t="s">
        <v>1052</v>
      </c>
      <c r="AQ311" s="139"/>
      <c r="AR311" s="10" t="s">
        <v>127</v>
      </c>
      <c r="AS311" s="13">
        <v>289</v>
      </c>
      <c r="AT311" s="13"/>
      <c r="AU311" s="13">
        <v>0</v>
      </c>
      <c r="AV311" s="13">
        <v>0</v>
      </c>
      <c r="AW311" s="13">
        <v>0</v>
      </c>
      <c r="AX311" s="13">
        <v>289</v>
      </c>
      <c r="AY311" s="13">
        <v>16.055555555555543</v>
      </c>
      <c r="AZ311" s="13">
        <v>0</v>
      </c>
      <c r="BA311" s="13"/>
      <c r="BB311" s="13"/>
      <c r="BC311" s="13">
        <v>-272.94444444444446</v>
      </c>
      <c r="BD311" s="13"/>
      <c r="BE311" s="13" t="s">
        <v>114</v>
      </c>
      <c r="BF311" s="29"/>
      <c r="BG311" s="13"/>
      <c r="BH311" s="13">
        <f>-FAR[[#This Row],[Carrying value (opening balance)]]/FAR[[#This Row],[Opening RUL 30 June 2026]]</f>
        <v>-16.055555555555543</v>
      </c>
      <c r="BI311" s="13">
        <f>FAR[[#This Row],[Depreciation YTD]]/12</f>
        <v>-1.3379629629629619</v>
      </c>
      <c r="BJ311" s="13"/>
      <c r="BK311" s="13" t="s">
        <v>116</v>
      </c>
      <c r="BL311" s="13">
        <v>0</v>
      </c>
      <c r="BM311" s="13">
        <f>FAR[[#This Row],[Accumulated depreciation (Opening balance)]]+FAR[[#This Row],[Depreciation YTD]]+FAR[[#This Row],[Derecognitions (acc dep) '[+']]]</f>
        <v>-289</v>
      </c>
      <c r="BN311" s="13"/>
      <c r="BO311" s="13"/>
      <c r="BP311" s="13"/>
      <c r="BQ311" s="13"/>
      <c r="BR31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11" s="13">
        <f>FAR[[#This Row],[Cost Price (closing balance)]]+FAR[[#This Row],[Accumulated depreciation (Closing balance)]]+FAR[[#This Row],[Accumulated impairments (Closing balance)]]</f>
        <v>0</v>
      </c>
      <c r="BT311" s="13"/>
      <c r="BU311" s="13"/>
      <c r="BV311" s="13"/>
      <c r="BW311" s="10" t="s">
        <v>167</v>
      </c>
      <c r="BX311" s="9" t="s">
        <v>168</v>
      </c>
      <c r="BY311" s="10"/>
      <c r="BZ311" t="s">
        <v>940</v>
      </c>
      <c r="CA311"/>
      <c r="CB311" s="34"/>
      <c r="CC311" s="34"/>
      <c r="CD311" s="34"/>
      <c r="CE311" s="141"/>
    </row>
    <row r="312" spans="1:83">
      <c r="A312" s="35" t="s">
        <v>609</v>
      </c>
      <c r="B312" s="9" t="s">
        <v>859</v>
      </c>
      <c r="C312" s="9" t="s">
        <v>54</v>
      </c>
      <c r="D312" s="10" t="s">
        <v>1</v>
      </c>
      <c r="E312" s="9" t="s">
        <v>115</v>
      </c>
      <c r="F312" s="36" t="s">
        <v>99</v>
      </c>
      <c r="G312" s="9" t="s">
        <v>100</v>
      </c>
      <c r="H312" s="3" t="s">
        <v>623</v>
      </c>
      <c r="I312" s="9" t="s">
        <v>100</v>
      </c>
      <c r="J312" s="36" t="s">
        <v>101</v>
      </c>
      <c r="K312" s="10" t="s">
        <v>559</v>
      </c>
      <c r="L312" s="10" t="s">
        <v>559</v>
      </c>
      <c r="M312" s="9" t="s">
        <v>100</v>
      </c>
      <c r="N312" s="10" t="s">
        <v>631</v>
      </c>
      <c r="O312" s="9" t="s">
        <v>100</v>
      </c>
      <c r="P312" s="10"/>
      <c r="Q312" s="10" t="s">
        <v>631</v>
      </c>
      <c r="R312" s="10" t="s">
        <v>119</v>
      </c>
      <c r="S312" s="10" t="s">
        <v>130</v>
      </c>
      <c r="T312" s="10" t="s">
        <v>120</v>
      </c>
      <c r="U312" s="10" t="s">
        <v>101</v>
      </c>
      <c r="V312" s="10" t="s">
        <v>121</v>
      </c>
      <c r="W312" s="10" t="s">
        <v>122</v>
      </c>
      <c r="X312" s="10" t="s">
        <v>123</v>
      </c>
      <c r="Y312" s="29">
        <v>1</v>
      </c>
      <c r="Z312" s="138" t="s">
        <v>665</v>
      </c>
      <c r="AA312" s="138">
        <v>41339</v>
      </c>
      <c r="AB312" s="9" t="s">
        <v>114</v>
      </c>
      <c r="AC312" s="9" t="s">
        <v>124</v>
      </c>
      <c r="AD312" s="15">
        <v>44651</v>
      </c>
      <c r="AE312" s="39" t="s">
        <v>125</v>
      </c>
      <c r="AF312" s="177">
        <v>6</v>
      </c>
      <c r="AG312" s="140">
        <v>0</v>
      </c>
      <c r="AH312" s="9">
        <v>0</v>
      </c>
      <c r="AI312" s="10" t="s">
        <v>126</v>
      </c>
      <c r="AJ312" s="10"/>
      <c r="AK312" s="29"/>
      <c r="AL312" s="12">
        <v>1</v>
      </c>
      <c r="AM312" s="10"/>
      <c r="AN312" s="12">
        <f>FAR[[#This Row],[Opening RUL]]+FAR[[#This Row],[RUL Adjustment]]</f>
        <v>1</v>
      </c>
      <c r="AO312" s="12">
        <f>FAR[[#This Row],[Opening RUL 30 June 2026]]-1</f>
        <v>0</v>
      </c>
      <c r="AP312" s="12" t="s">
        <v>1050</v>
      </c>
      <c r="AQ312" s="139"/>
      <c r="AR312" s="10" t="s">
        <v>127</v>
      </c>
      <c r="AS312" s="13">
        <v>23037.45</v>
      </c>
      <c r="AT312" s="13"/>
      <c r="AU312" s="13">
        <v>0</v>
      </c>
      <c r="AV312" s="13">
        <v>0</v>
      </c>
      <c r="AW312" s="13">
        <v>0</v>
      </c>
      <c r="AX312" s="13">
        <v>23037.45</v>
      </c>
      <c r="AY312" s="13">
        <v>1279.8583333333336</v>
      </c>
      <c r="AZ312" s="13">
        <v>0</v>
      </c>
      <c r="BA312" s="13"/>
      <c r="BB312" s="13"/>
      <c r="BC312" s="13">
        <v>-21757.591666666667</v>
      </c>
      <c r="BD312" s="13"/>
      <c r="BE312" s="13" t="s">
        <v>114</v>
      </c>
      <c r="BF312" s="29"/>
      <c r="BG312" s="13"/>
      <c r="BH312" s="13">
        <f>-FAR[[#This Row],[Carrying value (opening balance)]]/FAR[[#This Row],[Opening RUL 30 June 2026]]</f>
        <v>-1279.8583333333336</v>
      </c>
      <c r="BI312" s="13">
        <f>FAR[[#This Row],[Depreciation YTD]]/12</f>
        <v>-106.65486111111113</v>
      </c>
      <c r="BJ312" s="13"/>
      <c r="BK312" s="13" t="s">
        <v>116</v>
      </c>
      <c r="BL312" s="13">
        <v>0</v>
      </c>
      <c r="BM312" s="13">
        <f>FAR[[#This Row],[Accumulated depreciation (Opening balance)]]+FAR[[#This Row],[Depreciation YTD]]+FAR[[#This Row],[Derecognitions (acc dep) '[+']]]</f>
        <v>-23037.45</v>
      </c>
      <c r="BN312" s="13"/>
      <c r="BO312" s="13"/>
      <c r="BP312" s="13"/>
      <c r="BQ312" s="13"/>
      <c r="BR31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12" s="13">
        <f>FAR[[#This Row],[Cost Price (closing balance)]]+FAR[[#This Row],[Accumulated depreciation (Closing balance)]]+FAR[[#This Row],[Accumulated impairments (Closing balance)]]</f>
        <v>0</v>
      </c>
      <c r="BT312" s="13"/>
      <c r="BU312" s="13"/>
      <c r="BV312" s="13"/>
      <c r="BW312" s="10" t="s">
        <v>167</v>
      </c>
      <c r="BX312" s="9" t="s">
        <v>168</v>
      </c>
      <c r="BY312" s="10"/>
      <c r="BZ312" t="s">
        <v>997</v>
      </c>
      <c r="CA312"/>
      <c r="CB312" s="34"/>
      <c r="CC312" s="34"/>
      <c r="CD312" s="34"/>
      <c r="CE312" s="141"/>
    </row>
    <row r="313" spans="1:83">
      <c r="A313" s="35" t="s">
        <v>610</v>
      </c>
      <c r="B313" s="9" t="s">
        <v>851</v>
      </c>
      <c r="C313" s="9" t="s">
        <v>54</v>
      </c>
      <c r="D313" s="10" t="s">
        <v>1</v>
      </c>
      <c r="E313" s="9" t="s">
        <v>115</v>
      </c>
      <c r="F313" s="36" t="s">
        <v>99</v>
      </c>
      <c r="G313" s="9" t="s">
        <v>100</v>
      </c>
      <c r="H313" s="3" t="s">
        <v>623</v>
      </c>
      <c r="I313" s="9" t="s">
        <v>100</v>
      </c>
      <c r="J313" s="36" t="s">
        <v>101</v>
      </c>
      <c r="K313" s="10" t="s">
        <v>559</v>
      </c>
      <c r="L313" s="10" t="s">
        <v>559</v>
      </c>
      <c r="M313" s="9" t="s">
        <v>100</v>
      </c>
      <c r="N313" s="10" t="s">
        <v>632</v>
      </c>
      <c r="O313" s="9" t="s">
        <v>100</v>
      </c>
      <c r="P313" s="10"/>
      <c r="Q313" s="10" t="s">
        <v>632</v>
      </c>
      <c r="R313" s="10" t="s">
        <v>119</v>
      </c>
      <c r="S313" s="10" t="s">
        <v>130</v>
      </c>
      <c r="T313" s="10" t="s">
        <v>120</v>
      </c>
      <c r="U313" s="10" t="s">
        <v>101</v>
      </c>
      <c r="V313" s="10" t="s">
        <v>121</v>
      </c>
      <c r="W313" s="10" t="s">
        <v>122</v>
      </c>
      <c r="X313" s="10" t="s">
        <v>123</v>
      </c>
      <c r="Y313" s="29">
        <v>1</v>
      </c>
      <c r="Z313" s="138" t="s">
        <v>666</v>
      </c>
      <c r="AA313" s="138">
        <v>41359</v>
      </c>
      <c r="AB313" s="9" t="s">
        <v>114</v>
      </c>
      <c r="AC313" s="9" t="s">
        <v>124</v>
      </c>
      <c r="AD313" s="15">
        <v>44651</v>
      </c>
      <c r="AE313" s="39" t="s">
        <v>125</v>
      </c>
      <c r="AF313" s="177">
        <v>6</v>
      </c>
      <c r="AG313" s="140">
        <v>0</v>
      </c>
      <c r="AH313" s="9">
        <v>0</v>
      </c>
      <c r="AI313" s="10" t="s">
        <v>126</v>
      </c>
      <c r="AJ313" s="10"/>
      <c r="AK313" s="29"/>
      <c r="AL313" s="12">
        <v>1</v>
      </c>
      <c r="AM313" s="10"/>
      <c r="AN313" s="12">
        <f>FAR[[#This Row],[Opening RUL]]+FAR[[#This Row],[RUL Adjustment]]</f>
        <v>1</v>
      </c>
      <c r="AO313" s="12">
        <f>FAR[[#This Row],[Opening RUL 30 June 2026]]-1</f>
        <v>0</v>
      </c>
      <c r="AP313" s="12" t="s">
        <v>1050</v>
      </c>
      <c r="AQ313" s="139"/>
      <c r="AR313" s="10" t="s">
        <v>127</v>
      </c>
      <c r="AS313" s="13">
        <v>19368.89</v>
      </c>
      <c r="AT313" s="13"/>
      <c r="AU313" s="13">
        <v>0</v>
      </c>
      <c r="AV313" s="13">
        <v>0</v>
      </c>
      <c r="AW313" s="13">
        <v>0</v>
      </c>
      <c r="AX313" s="13">
        <v>19368.89</v>
      </c>
      <c r="AY313" s="13">
        <v>1076.0494444444448</v>
      </c>
      <c r="AZ313" s="13">
        <v>0</v>
      </c>
      <c r="BA313" s="13"/>
      <c r="BB313" s="13"/>
      <c r="BC313" s="13">
        <v>-18292.840555555555</v>
      </c>
      <c r="BD313" s="13"/>
      <c r="BE313" s="13" t="s">
        <v>114</v>
      </c>
      <c r="BF313" s="29"/>
      <c r="BG313" s="13"/>
      <c r="BH313" s="13">
        <f>-FAR[[#This Row],[Carrying value (opening balance)]]/FAR[[#This Row],[Opening RUL 30 June 2026]]</f>
        <v>-1076.0494444444448</v>
      </c>
      <c r="BI313" s="13">
        <f>FAR[[#This Row],[Depreciation YTD]]/12</f>
        <v>-89.670787037037073</v>
      </c>
      <c r="BJ313" s="13"/>
      <c r="BK313" s="13" t="s">
        <v>116</v>
      </c>
      <c r="BL313" s="13">
        <v>0</v>
      </c>
      <c r="BM313" s="13">
        <f>FAR[[#This Row],[Accumulated depreciation (Opening balance)]]+FAR[[#This Row],[Depreciation YTD]]+FAR[[#This Row],[Derecognitions (acc dep) '[+']]]</f>
        <v>-19368.89</v>
      </c>
      <c r="BN313" s="13"/>
      <c r="BO313" s="13"/>
      <c r="BP313" s="13"/>
      <c r="BQ313" s="13"/>
      <c r="BR31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13" s="13">
        <f>FAR[[#This Row],[Cost Price (closing balance)]]+FAR[[#This Row],[Accumulated depreciation (Closing balance)]]+FAR[[#This Row],[Accumulated impairments (Closing balance)]]</f>
        <v>0</v>
      </c>
      <c r="BT313" s="13"/>
      <c r="BU313" s="13"/>
      <c r="BV313" s="13"/>
      <c r="BW313" s="10" t="s">
        <v>167</v>
      </c>
      <c r="BX313" s="9" t="s">
        <v>168</v>
      </c>
      <c r="BY313" s="10"/>
      <c r="BZ313" t="s">
        <v>938</v>
      </c>
      <c r="CA313"/>
      <c r="CB313" s="34"/>
      <c r="CC313" s="34"/>
      <c r="CD313" s="34"/>
      <c r="CE313" s="141"/>
    </row>
    <row r="314" spans="1:83">
      <c r="A314" s="35" t="s">
        <v>611</v>
      </c>
      <c r="B314" s="9" t="s">
        <v>917</v>
      </c>
      <c r="C314" s="9" t="s">
        <v>54</v>
      </c>
      <c r="D314" s="10" t="s">
        <v>1</v>
      </c>
      <c r="E314" s="9" t="s">
        <v>115</v>
      </c>
      <c r="F314" s="36" t="s">
        <v>99</v>
      </c>
      <c r="G314" s="9" t="s">
        <v>100</v>
      </c>
      <c r="H314" s="3" t="s">
        <v>623</v>
      </c>
      <c r="I314" s="9" t="s">
        <v>100</v>
      </c>
      <c r="J314" s="36" t="s">
        <v>101</v>
      </c>
      <c r="K314" s="10" t="s">
        <v>559</v>
      </c>
      <c r="L314" s="10" t="s">
        <v>559</v>
      </c>
      <c r="M314" s="9" t="s">
        <v>100</v>
      </c>
      <c r="N314" s="10" t="s">
        <v>633</v>
      </c>
      <c r="O314" s="9" t="s">
        <v>100</v>
      </c>
      <c r="P314" s="10"/>
      <c r="Q314" s="10" t="s">
        <v>633</v>
      </c>
      <c r="R314" s="10" t="s">
        <v>119</v>
      </c>
      <c r="S314" s="10" t="s">
        <v>130</v>
      </c>
      <c r="T314" s="10" t="s">
        <v>120</v>
      </c>
      <c r="U314" s="10" t="s">
        <v>101</v>
      </c>
      <c r="V314" s="10" t="s">
        <v>121</v>
      </c>
      <c r="W314" s="10" t="s">
        <v>122</v>
      </c>
      <c r="X314" s="10" t="s">
        <v>123</v>
      </c>
      <c r="Y314" s="29">
        <v>1</v>
      </c>
      <c r="Z314" s="138" t="s">
        <v>589</v>
      </c>
      <c r="AA314" s="138">
        <v>41355</v>
      </c>
      <c r="AB314" s="9" t="s">
        <v>114</v>
      </c>
      <c r="AC314" s="9" t="s">
        <v>124</v>
      </c>
      <c r="AD314" s="15">
        <v>44651</v>
      </c>
      <c r="AE314" s="39" t="s">
        <v>125</v>
      </c>
      <c r="AF314" s="177">
        <v>6</v>
      </c>
      <c r="AG314" s="140">
        <v>0</v>
      </c>
      <c r="AH314" s="9">
        <v>0</v>
      </c>
      <c r="AI314" s="10" t="s">
        <v>126</v>
      </c>
      <c r="AJ314" s="10"/>
      <c r="AK314" s="29"/>
      <c r="AL314" s="12">
        <v>1</v>
      </c>
      <c r="AM314" s="10"/>
      <c r="AN314" s="12">
        <f>FAR[[#This Row],[Opening RUL]]+FAR[[#This Row],[RUL Adjustment]]</f>
        <v>1</v>
      </c>
      <c r="AO314" s="12">
        <f>FAR[[#This Row],[Opening RUL 30 June 2026]]-1</f>
        <v>0</v>
      </c>
      <c r="AP314" s="12" t="s">
        <v>1050</v>
      </c>
      <c r="AQ314" s="139"/>
      <c r="AR314" s="10" t="s">
        <v>127</v>
      </c>
      <c r="AS314" s="13">
        <v>15134.59</v>
      </c>
      <c r="AT314" s="13"/>
      <c r="AU314" s="13">
        <v>0</v>
      </c>
      <c r="AV314" s="13">
        <v>0</v>
      </c>
      <c r="AW314" s="13">
        <v>0</v>
      </c>
      <c r="AX314" s="13">
        <v>15134.59</v>
      </c>
      <c r="AY314" s="13">
        <v>840.81055555555577</v>
      </c>
      <c r="AZ314" s="13">
        <v>0</v>
      </c>
      <c r="BA314" s="13"/>
      <c r="BB314" s="13"/>
      <c r="BC314" s="13">
        <v>-14293.779444444444</v>
      </c>
      <c r="BD314" s="13"/>
      <c r="BE314" s="13" t="s">
        <v>114</v>
      </c>
      <c r="BF314" s="29"/>
      <c r="BG314" s="13"/>
      <c r="BH314" s="13">
        <f>-FAR[[#This Row],[Carrying value (opening balance)]]/FAR[[#This Row],[Opening RUL 30 June 2026]]</f>
        <v>-840.81055555555577</v>
      </c>
      <c r="BI314" s="13">
        <f>FAR[[#This Row],[Depreciation YTD]]/12</f>
        <v>-70.067546296296314</v>
      </c>
      <c r="BJ314" s="13"/>
      <c r="BK314" s="13" t="s">
        <v>116</v>
      </c>
      <c r="BL314" s="13">
        <v>0</v>
      </c>
      <c r="BM314" s="13">
        <f>FAR[[#This Row],[Accumulated depreciation (Opening balance)]]+FAR[[#This Row],[Depreciation YTD]]+FAR[[#This Row],[Derecognitions (acc dep) '[+']]]</f>
        <v>-15134.59</v>
      </c>
      <c r="BN314" s="13"/>
      <c r="BO314" s="13"/>
      <c r="BP314" s="13"/>
      <c r="BQ314" s="13"/>
      <c r="BR31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14" s="13">
        <f>FAR[[#This Row],[Cost Price (closing balance)]]+FAR[[#This Row],[Accumulated depreciation (Closing balance)]]+FAR[[#This Row],[Accumulated impairments (Closing balance)]]</f>
        <v>0</v>
      </c>
      <c r="BT314" s="13"/>
      <c r="BU314" s="13"/>
      <c r="BV314" s="13"/>
      <c r="BW314" s="10" t="s">
        <v>167</v>
      </c>
      <c r="BX314" s="9" t="s">
        <v>168</v>
      </c>
      <c r="BY314" s="10"/>
      <c r="BZ314" t="s">
        <v>938</v>
      </c>
      <c r="CA314"/>
      <c r="CB314" s="34"/>
      <c r="CC314" s="34"/>
      <c r="CD314" s="34"/>
      <c r="CE314" s="141"/>
    </row>
    <row r="315" spans="1:83">
      <c r="A315" s="35" t="s">
        <v>612</v>
      </c>
      <c r="B315" s="9">
        <v>0</v>
      </c>
      <c r="C315" s="9" t="s">
        <v>54</v>
      </c>
      <c r="D315" s="10" t="s">
        <v>1</v>
      </c>
      <c r="E315" s="9" t="s">
        <v>115</v>
      </c>
      <c r="F315" s="36" t="s">
        <v>99</v>
      </c>
      <c r="G315" s="9" t="s">
        <v>100</v>
      </c>
      <c r="H315" s="3" t="s">
        <v>623</v>
      </c>
      <c r="I315" s="9" t="s">
        <v>100</v>
      </c>
      <c r="J315" s="36" t="s">
        <v>101</v>
      </c>
      <c r="K315" s="10" t="s">
        <v>559</v>
      </c>
      <c r="L315" s="10" t="s">
        <v>559</v>
      </c>
      <c r="M315" s="9" t="s">
        <v>100</v>
      </c>
      <c r="N315" s="10" t="s">
        <v>634</v>
      </c>
      <c r="O315" s="9" t="s">
        <v>100</v>
      </c>
      <c r="P315" s="10"/>
      <c r="Q315" s="10" t="s">
        <v>634</v>
      </c>
      <c r="R315" s="10" t="s">
        <v>119</v>
      </c>
      <c r="S315" s="10" t="s">
        <v>130</v>
      </c>
      <c r="T315" s="10" t="s">
        <v>120</v>
      </c>
      <c r="U315" s="10" t="s">
        <v>101</v>
      </c>
      <c r="V315" s="10" t="s">
        <v>121</v>
      </c>
      <c r="W315" s="10" t="s">
        <v>122</v>
      </c>
      <c r="X315" s="10" t="s">
        <v>123</v>
      </c>
      <c r="Y315" s="29">
        <v>1</v>
      </c>
      <c r="Z315" s="138" t="s">
        <v>665</v>
      </c>
      <c r="AA315" s="138">
        <v>41339</v>
      </c>
      <c r="AB315" s="9" t="s">
        <v>114</v>
      </c>
      <c r="AC315" s="9" t="s">
        <v>124</v>
      </c>
      <c r="AD315" s="15">
        <v>44651</v>
      </c>
      <c r="AE315" s="39" t="s">
        <v>125</v>
      </c>
      <c r="AF315" s="177">
        <v>6</v>
      </c>
      <c r="AG315" s="140">
        <v>0</v>
      </c>
      <c r="AH315" s="9">
        <v>0</v>
      </c>
      <c r="AI315" s="10" t="s">
        <v>126</v>
      </c>
      <c r="AJ315" s="10"/>
      <c r="AK315" s="29"/>
      <c r="AL315" s="12">
        <v>1</v>
      </c>
      <c r="AM315" s="10"/>
      <c r="AN315" s="12">
        <f>FAR[[#This Row],[Opening RUL]]+FAR[[#This Row],[RUL Adjustment]]</f>
        <v>1</v>
      </c>
      <c r="AO315" s="12">
        <f>FAR[[#This Row],[Opening RUL 30 June 2026]]-1</f>
        <v>0</v>
      </c>
      <c r="AP315" s="12">
        <v>0</v>
      </c>
      <c r="AQ315" s="139"/>
      <c r="AR315" s="10" t="s">
        <v>127</v>
      </c>
      <c r="AS315" s="13">
        <v>2522</v>
      </c>
      <c r="AT315" s="13"/>
      <c r="AU315" s="13">
        <v>0</v>
      </c>
      <c r="AV315" s="13">
        <v>0</v>
      </c>
      <c r="AW315" s="13">
        <v>0</v>
      </c>
      <c r="AX315" s="13">
        <v>2522</v>
      </c>
      <c r="AY315" s="13">
        <v>140.11111111111131</v>
      </c>
      <c r="AZ315" s="13">
        <v>0</v>
      </c>
      <c r="BA315" s="13"/>
      <c r="BB315" s="13"/>
      <c r="BC315" s="13">
        <v>-2381.8888888888887</v>
      </c>
      <c r="BD315" s="13"/>
      <c r="BE315" s="13" t="s">
        <v>114</v>
      </c>
      <c r="BF315" s="29"/>
      <c r="BG315" s="13"/>
      <c r="BH315" s="13">
        <f>-FAR[[#This Row],[Carrying value (opening balance)]]/FAR[[#This Row],[Opening RUL 30 June 2026]]</f>
        <v>-140.11111111111131</v>
      </c>
      <c r="BI315" s="13">
        <f>FAR[[#This Row],[Depreciation YTD]]/12</f>
        <v>-11.675925925925943</v>
      </c>
      <c r="BJ315" s="13"/>
      <c r="BK315" s="13" t="s">
        <v>116</v>
      </c>
      <c r="BL315" s="13">
        <v>0</v>
      </c>
      <c r="BM315" s="13">
        <f>FAR[[#This Row],[Accumulated depreciation (Opening balance)]]+FAR[[#This Row],[Depreciation YTD]]+FAR[[#This Row],[Derecognitions (acc dep) '[+']]]</f>
        <v>-2522</v>
      </c>
      <c r="BN315" s="13"/>
      <c r="BO315" s="13"/>
      <c r="BP315" s="13"/>
      <c r="BQ315" s="13"/>
      <c r="BR31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15" s="13">
        <f>FAR[[#This Row],[Cost Price (closing balance)]]+FAR[[#This Row],[Accumulated depreciation (Closing balance)]]+FAR[[#This Row],[Accumulated impairments (Closing balance)]]</f>
        <v>0</v>
      </c>
      <c r="BT315" s="13"/>
      <c r="BU315" s="13"/>
      <c r="BV315" s="13"/>
      <c r="BW315" s="10" t="s">
        <v>167</v>
      </c>
      <c r="BX315" s="9" t="s">
        <v>168</v>
      </c>
      <c r="BY315" s="10"/>
      <c r="BZ315">
        <v>0</v>
      </c>
      <c r="CA315"/>
      <c r="CB315" s="34"/>
      <c r="CC315" s="34"/>
      <c r="CD315" s="34"/>
      <c r="CE315" s="141"/>
    </row>
    <row r="316" spans="1:83">
      <c r="A316" s="35" t="s">
        <v>613</v>
      </c>
      <c r="B316" s="9" t="s">
        <v>917</v>
      </c>
      <c r="C316" s="9" t="s">
        <v>54</v>
      </c>
      <c r="D316" s="10" t="s">
        <v>1</v>
      </c>
      <c r="E316" s="9" t="s">
        <v>115</v>
      </c>
      <c r="F316" s="36" t="s">
        <v>99</v>
      </c>
      <c r="G316" s="9" t="s">
        <v>100</v>
      </c>
      <c r="H316" s="3" t="s">
        <v>623</v>
      </c>
      <c r="I316" s="9" t="s">
        <v>100</v>
      </c>
      <c r="J316" s="36" t="s">
        <v>101</v>
      </c>
      <c r="K316" s="10" t="s">
        <v>559</v>
      </c>
      <c r="L316" s="10" t="s">
        <v>559</v>
      </c>
      <c r="M316" s="9" t="s">
        <v>100</v>
      </c>
      <c r="N316" s="10" t="s">
        <v>635</v>
      </c>
      <c r="O316" s="9" t="s">
        <v>100</v>
      </c>
      <c r="P316" s="10"/>
      <c r="Q316" s="10" t="s">
        <v>635</v>
      </c>
      <c r="R316" s="10" t="s">
        <v>119</v>
      </c>
      <c r="S316" s="10" t="s">
        <v>130</v>
      </c>
      <c r="T316" s="10" t="s">
        <v>120</v>
      </c>
      <c r="U316" s="10" t="s">
        <v>101</v>
      </c>
      <c r="V316" s="10" t="s">
        <v>121</v>
      </c>
      <c r="W316" s="10" t="s">
        <v>122</v>
      </c>
      <c r="X316" s="10" t="s">
        <v>123</v>
      </c>
      <c r="Y316" s="29">
        <v>1</v>
      </c>
      <c r="Z316" s="138" t="s">
        <v>668</v>
      </c>
      <c r="AA316" s="138">
        <v>38472</v>
      </c>
      <c r="AB316" s="9" t="s">
        <v>114</v>
      </c>
      <c r="AC316" s="9" t="s">
        <v>124</v>
      </c>
      <c r="AD316" s="15">
        <v>44651</v>
      </c>
      <c r="AE316" s="39" t="s">
        <v>125</v>
      </c>
      <c r="AF316" s="177">
        <v>6</v>
      </c>
      <c r="AG316" s="140">
        <v>0</v>
      </c>
      <c r="AH316" s="9">
        <v>0</v>
      </c>
      <c r="AI316" s="10" t="s">
        <v>126</v>
      </c>
      <c r="AJ316" s="10"/>
      <c r="AK316" s="29"/>
      <c r="AL316" s="12">
        <v>1</v>
      </c>
      <c r="AM316" s="10"/>
      <c r="AN316" s="12">
        <f>FAR[[#This Row],[Opening RUL]]+FAR[[#This Row],[RUL Adjustment]]</f>
        <v>1</v>
      </c>
      <c r="AO316" s="12">
        <f>FAR[[#This Row],[Opening RUL 30 June 2026]]-1</f>
        <v>0</v>
      </c>
      <c r="AP316" s="12" t="s">
        <v>1050</v>
      </c>
      <c r="AQ316" s="139"/>
      <c r="AR316" s="10" t="s">
        <v>127</v>
      </c>
      <c r="AS316" s="13">
        <v>11290</v>
      </c>
      <c r="AT316" s="13"/>
      <c r="AU316" s="13">
        <v>0</v>
      </c>
      <c r="AV316" s="13">
        <v>0</v>
      </c>
      <c r="AW316" s="13">
        <v>0</v>
      </c>
      <c r="AX316" s="13">
        <v>11290</v>
      </c>
      <c r="AY316" s="13">
        <v>627.22222222222263</v>
      </c>
      <c r="AZ316" s="13">
        <v>0</v>
      </c>
      <c r="BA316" s="13"/>
      <c r="BB316" s="13"/>
      <c r="BC316" s="13">
        <v>-10662.777777777777</v>
      </c>
      <c r="BD316" s="13"/>
      <c r="BE316" s="13" t="s">
        <v>114</v>
      </c>
      <c r="BF316" s="29"/>
      <c r="BG316" s="13"/>
      <c r="BH316" s="13">
        <f>-FAR[[#This Row],[Carrying value (opening balance)]]/FAR[[#This Row],[Opening RUL 30 June 2026]]</f>
        <v>-627.22222222222263</v>
      </c>
      <c r="BI316" s="13">
        <f>FAR[[#This Row],[Depreciation YTD]]/12</f>
        <v>-52.268518518518555</v>
      </c>
      <c r="BJ316" s="13"/>
      <c r="BK316" s="13" t="s">
        <v>116</v>
      </c>
      <c r="BL316" s="13">
        <v>0</v>
      </c>
      <c r="BM316" s="13">
        <f>FAR[[#This Row],[Accumulated depreciation (Opening balance)]]+FAR[[#This Row],[Depreciation YTD]]+FAR[[#This Row],[Derecognitions (acc dep) '[+']]]</f>
        <v>-11290</v>
      </c>
      <c r="BN316" s="13"/>
      <c r="BO316" s="13"/>
      <c r="BP316" s="13"/>
      <c r="BQ316" s="13"/>
      <c r="BR31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16" s="13">
        <f>FAR[[#This Row],[Cost Price (closing balance)]]+FAR[[#This Row],[Accumulated depreciation (Closing balance)]]+FAR[[#This Row],[Accumulated impairments (Closing balance)]]</f>
        <v>0</v>
      </c>
      <c r="BT316" s="13"/>
      <c r="BU316" s="13"/>
      <c r="BV316" s="13"/>
      <c r="BW316" s="10" t="s">
        <v>167</v>
      </c>
      <c r="BX316" s="9" t="s">
        <v>168</v>
      </c>
      <c r="BY316" s="10"/>
      <c r="BZ316" t="s">
        <v>938</v>
      </c>
      <c r="CA316"/>
      <c r="CB316" s="34"/>
      <c r="CC316" s="34"/>
      <c r="CD316" s="34"/>
      <c r="CE316" s="141"/>
    </row>
    <row r="317" spans="1:83">
      <c r="A317" s="35" t="s">
        <v>785</v>
      </c>
      <c r="B317" s="9">
        <v>0</v>
      </c>
      <c r="C317" s="9" t="s">
        <v>54</v>
      </c>
      <c r="D317" s="10" t="s">
        <v>1</v>
      </c>
      <c r="E317" s="9" t="s">
        <v>115</v>
      </c>
      <c r="F317" s="36" t="s">
        <v>99</v>
      </c>
      <c r="G317" s="9" t="s">
        <v>100</v>
      </c>
      <c r="H317" s="3" t="s">
        <v>623</v>
      </c>
      <c r="I317" s="9" t="s">
        <v>100</v>
      </c>
      <c r="J317" s="36" t="s">
        <v>101</v>
      </c>
      <c r="K317" s="10" t="s">
        <v>559</v>
      </c>
      <c r="L317" s="10" t="s">
        <v>559</v>
      </c>
      <c r="M317" s="9" t="s">
        <v>100</v>
      </c>
      <c r="N317" s="10" t="s">
        <v>636</v>
      </c>
      <c r="O317" s="9" t="s">
        <v>100</v>
      </c>
      <c r="P317" s="10"/>
      <c r="Q317" s="10" t="s">
        <v>636</v>
      </c>
      <c r="R317" s="10" t="s">
        <v>119</v>
      </c>
      <c r="S317" s="10" t="s">
        <v>130</v>
      </c>
      <c r="T317" s="10" t="s">
        <v>120</v>
      </c>
      <c r="U317" s="10" t="s">
        <v>101</v>
      </c>
      <c r="V317" s="10" t="s">
        <v>121</v>
      </c>
      <c r="W317" s="10" t="s">
        <v>122</v>
      </c>
      <c r="X317" s="10" t="s">
        <v>123</v>
      </c>
      <c r="Y317" s="29">
        <v>1</v>
      </c>
      <c r="Z317" s="138" t="s">
        <v>669</v>
      </c>
      <c r="AA317" s="138">
        <v>38183</v>
      </c>
      <c r="AB317" s="9" t="s">
        <v>114</v>
      </c>
      <c r="AC317" s="9" t="s">
        <v>124</v>
      </c>
      <c r="AD317" s="15">
        <v>44651</v>
      </c>
      <c r="AE317" s="39" t="s">
        <v>125</v>
      </c>
      <c r="AF317" s="177">
        <v>6</v>
      </c>
      <c r="AG317" s="140">
        <v>0</v>
      </c>
      <c r="AH317" s="9">
        <v>0</v>
      </c>
      <c r="AI317" s="10" t="s">
        <v>126</v>
      </c>
      <c r="AJ317" s="10"/>
      <c r="AK317" s="29"/>
      <c r="AL317" s="12">
        <v>1</v>
      </c>
      <c r="AM317" s="10"/>
      <c r="AN317" s="12">
        <f>FAR[[#This Row],[Opening RUL]]+FAR[[#This Row],[RUL Adjustment]]</f>
        <v>1</v>
      </c>
      <c r="AO317" s="12">
        <f>FAR[[#This Row],[Opening RUL 30 June 2026]]-1</f>
        <v>0</v>
      </c>
      <c r="AP317" s="12">
        <v>0</v>
      </c>
      <c r="AQ317" s="139"/>
      <c r="AR317" s="10" t="s">
        <v>127</v>
      </c>
      <c r="AS317" s="13">
        <v>6472</v>
      </c>
      <c r="AT317" s="13"/>
      <c r="AU317" s="13">
        <v>0</v>
      </c>
      <c r="AV317" s="13">
        <v>0</v>
      </c>
      <c r="AW317" s="13">
        <v>0</v>
      </c>
      <c r="AX317" s="13">
        <v>6472</v>
      </c>
      <c r="AY317" s="13">
        <v>359.55555555555475</v>
      </c>
      <c r="AZ317" s="13">
        <v>0</v>
      </c>
      <c r="BA317" s="13"/>
      <c r="BB317" s="13"/>
      <c r="BC317" s="13">
        <v>-6112.4444444444453</v>
      </c>
      <c r="BD317" s="13"/>
      <c r="BE317" s="13" t="s">
        <v>114</v>
      </c>
      <c r="BF317" s="29"/>
      <c r="BG317" s="13"/>
      <c r="BH317" s="13">
        <f>-FAR[[#This Row],[Carrying value (opening balance)]]/FAR[[#This Row],[Opening RUL 30 June 2026]]</f>
        <v>-359.55555555555475</v>
      </c>
      <c r="BI317" s="13">
        <f>FAR[[#This Row],[Depreciation YTD]]/12</f>
        <v>-29.962962962962894</v>
      </c>
      <c r="BJ317" s="13"/>
      <c r="BK317" s="13" t="s">
        <v>116</v>
      </c>
      <c r="BL317" s="13">
        <v>0</v>
      </c>
      <c r="BM317" s="13">
        <f>FAR[[#This Row],[Accumulated depreciation (Opening balance)]]+FAR[[#This Row],[Depreciation YTD]]+FAR[[#This Row],[Derecognitions (acc dep) '[+']]]</f>
        <v>-6472</v>
      </c>
      <c r="BN317" s="13"/>
      <c r="BO317" s="13"/>
      <c r="BP317" s="13"/>
      <c r="BQ317" s="13"/>
      <c r="BR31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17" s="13">
        <f>FAR[[#This Row],[Cost Price (closing balance)]]+FAR[[#This Row],[Accumulated depreciation (Closing balance)]]+FAR[[#This Row],[Accumulated impairments (Closing balance)]]</f>
        <v>0</v>
      </c>
      <c r="BT317" s="13"/>
      <c r="BU317" s="13"/>
      <c r="BV317" s="13"/>
      <c r="BW317" s="10" t="s">
        <v>167</v>
      </c>
      <c r="BX317" s="9" t="s">
        <v>168</v>
      </c>
      <c r="BY317" s="10"/>
      <c r="BZ317">
        <v>0</v>
      </c>
      <c r="CA317"/>
      <c r="CB317" s="34"/>
      <c r="CC317" s="34"/>
      <c r="CD317" s="34"/>
      <c r="CE317" s="141"/>
    </row>
    <row r="318" spans="1:83">
      <c r="A318" s="35" t="s">
        <v>614</v>
      </c>
      <c r="B318" s="9">
        <v>0</v>
      </c>
      <c r="C318" s="9" t="s">
        <v>54</v>
      </c>
      <c r="D318" s="10" t="s">
        <v>1</v>
      </c>
      <c r="E318" s="9" t="s">
        <v>115</v>
      </c>
      <c r="F318" s="36" t="s">
        <v>99</v>
      </c>
      <c r="G318" s="9" t="s">
        <v>100</v>
      </c>
      <c r="H318" s="3" t="s">
        <v>623</v>
      </c>
      <c r="I318" s="9" t="s">
        <v>100</v>
      </c>
      <c r="J318" s="36" t="s">
        <v>101</v>
      </c>
      <c r="K318" s="10" t="s">
        <v>559</v>
      </c>
      <c r="L318" s="10" t="s">
        <v>559</v>
      </c>
      <c r="M318" s="9" t="s">
        <v>100</v>
      </c>
      <c r="N318" s="10" t="s">
        <v>637</v>
      </c>
      <c r="O318" s="9" t="s">
        <v>100</v>
      </c>
      <c r="P318" s="10"/>
      <c r="Q318" s="10" t="s">
        <v>637</v>
      </c>
      <c r="R318" s="10" t="s">
        <v>119</v>
      </c>
      <c r="S318" s="10" t="s">
        <v>130</v>
      </c>
      <c r="T318" s="10" t="s">
        <v>120</v>
      </c>
      <c r="U318" s="10" t="s">
        <v>101</v>
      </c>
      <c r="V318" s="10" t="s">
        <v>121</v>
      </c>
      <c r="W318" s="10" t="s">
        <v>122</v>
      </c>
      <c r="X318" s="10" t="s">
        <v>123</v>
      </c>
      <c r="Y318" s="29">
        <v>1</v>
      </c>
      <c r="Z318" s="138" t="s">
        <v>670</v>
      </c>
      <c r="AA318" s="138">
        <v>38182</v>
      </c>
      <c r="AB318" s="9" t="s">
        <v>114</v>
      </c>
      <c r="AC318" s="9" t="s">
        <v>124</v>
      </c>
      <c r="AD318" s="15">
        <v>44651</v>
      </c>
      <c r="AE318" s="39" t="s">
        <v>125</v>
      </c>
      <c r="AF318" s="177">
        <v>6</v>
      </c>
      <c r="AG318" s="140">
        <v>0</v>
      </c>
      <c r="AH318" s="9">
        <v>0</v>
      </c>
      <c r="AI318" s="10" t="s">
        <v>126</v>
      </c>
      <c r="AJ318" s="10"/>
      <c r="AK318" s="29"/>
      <c r="AL318" s="12">
        <v>1</v>
      </c>
      <c r="AM318" s="10"/>
      <c r="AN318" s="12">
        <f>FAR[[#This Row],[Opening RUL]]+FAR[[#This Row],[RUL Adjustment]]</f>
        <v>1</v>
      </c>
      <c r="AO318" s="12">
        <f>FAR[[#This Row],[Opening RUL 30 June 2026]]-1</f>
        <v>0</v>
      </c>
      <c r="AP318" s="12">
        <v>0</v>
      </c>
      <c r="AQ318" s="139"/>
      <c r="AR318" s="10" t="s">
        <v>127</v>
      </c>
      <c r="AS318" s="13">
        <v>3696.6</v>
      </c>
      <c r="AT318" s="13"/>
      <c r="AU318" s="13">
        <v>0</v>
      </c>
      <c r="AV318" s="13">
        <v>0</v>
      </c>
      <c r="AW318" s="13">
        <v>0</v>
      </c>
      <c r="AX318" s="13">
        <v>3696.6</v>
      </c>
      <c r="AY318" s="13">
        <v>205.36666666666633</v>
      </c>
      <c r="AZ318" s="13">
        <v>0</v>
      </c>
      <c r="BA318" s="13"/>
      <c r="BB318" s="13"/>
      <c r="BC318" s="13">
        <v>-3491.2333333333336</v>
      </c>
      <c r="BD318" s="13"/>
      <c r="BE318" s="13" t="s">
        <v>114</v>
      </c>
      <c r="BF318" s="29"/>
      <c r="BG318" s="13"/>
      <c r="BH318" s="13">
        <f>-FAR[[#This Row],[Carrying value (opening balance)]]/FAR[[#This Row],[Opening RUL 30 June 2026]]</f>
        <v>-205.36666666666633</v>
      </c>
      <c r="BI318" s="13">
        <f>FAR[[#This Row],[Depreciation YTD]]/12</f>
        <v>-17.113888888888862</v>
      </c>
      <c r="BJ318" s="13"/>
      <c r="BK318" s="13" t="s">
        <v>116</v>
      </c>
      <c r="BL318" s="13">
        <v>0</v>
      </c>
      <c r="BM318" s="13">
        <f>FAR[[#This Row],[Accumulated depreciation (Opening balance)]]+FAR[[#This Row],[Depreciation YTD]]+FAR[[#This Row],[Derecognitions (acc dep) '[+']]]</f>
        <v>-3696.6</v>
      </c>
      <c r="BN318" s="13"/>
      <c r="BO318" s="13"/>
      <c r="BP318" s="13"/>
      <c r="BQ318" s="13"/>
      <c r="BR31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18" s="13">
        <f>FAR[[#This Row],[Cost Price (closing balance)]]+FAR[[#This Row],[Accumulated depreciation (Closing balance)]]+FAR[[#This Row],[Accumulated impairments (Closing balance)]]</f>
        <v>0</v>
      </c>
      <c r="BT318" s="13"/>
      <c r="BU318" s="13"/>
      <c r="BV318" s="13"/>
      <c r="BW318" s="10" t="s">
        <v>167</v>
      </c>
      <c r="BX318" s="9" t="s">
        <v>168</v>
      </c>
      <c r="BY318" s="10"/>
      <c r="BZ318">
        <v>0</v>
      </c>
      <c r="CA318"/>
      <c r="CB318" s="34"/>
      <c r="CC318" s="34"/>
      <c r="CD318" s="34"/>
      <c r="CE318" s="141"/>
    </row>
    <row r="319" spans="1:83">
      <c r="A319" s="35" t="s">
        <v>615</v>
      </c>
      <c r="B319" s="9" t="s">
        <v>918</v>
      </c>
      <c r="C319" s="9" t="s">
        <v>54</v>
      </c>
      <c r="D319" s="10" t="s">
        <v>1</v>
      </c>
      <c r="E319" s="9" t="s">
        <v>115</v>
      </c>
      <c r="F319" s="36" t="s">
        <v>99</v>
      </c>
      <c r="G319" s="9" t="s">
        <v>100</v>
      </c>
      <c r="H319" s="3" t="s">
        <v>623</v>
      </c>
      <c r="I319" s="9" t="s">
        <v>100</v>
      </c>
      <c r="J319" s="36" t="s">
        <v>101</v>
      </c>
      <c r="K319" s="10" t="s">
        <v>559</v>
      </c>
      <c r="L319" s="10" t="s">
        <v>559</v>
      </c>
      <c r="M319" s="9" t="s">
        <v>100</v>
      </c>
      <c r="N319" s="10" t="s">
        <v>638</v>
      </c>
      <c r="O319" s="9" t="s">
        <v>100</v>
      </c>
      <c r="P319" s="10"/>
      <c r="Q319" s="10" t="s">
        <v>638</v>
      </c>
      <c r="R319" s="10" t="s">
        <v>119</v>
      </c>
      <c r="S319" s="10" t="s">
        <v>130</v>
      </c>
      <c r="T319" s="10" t="s">
        <v>120</v>
      </c>
      <c r="U319" s="10" t="s">
        <v>101</v>
      </c>
      <c r="V319" s="10" t="s">
        <v>121</v>
      </c>
      <c r="W319" s="10" t="s">
        <v>122</v>
      </c>
      <c r="X319" s="10" t="s">
        <v>123</v>
      </c>
      <c r="Y319" s="29">
        <v>1</v>
      </c>
      <c r="Z319" s="138" t="s">
        <v>671</v>
      </c>
      <c r="AA319" s="138">
        <v>42185</v>
      </c>
      <c r="AB319" s="9" t="s">
        <v>114</v>
      </c>
      <c r="AC319" s="9" t="s">
        <v>124</v>
      </c>
      <c r="AD319" s="15">
        <v>44651</v>
      </c>
      <c r="AE319" s="39" t="s">
        <v>125</v>
      </c>
      <c r="AF319" s="177">
        <v>6</v>
      </c>
      <c r="AG319" s="140">
        <v>0</v>
      </c>
      <c r="AH319" s="9">
        <v>0</v>
      </c>
      <c r="AI319" s="10" t="s">
        <v>126</v>
      </c>
      <c r="AJ319" s="10"/>
      <c r="AK319" s="29"/>
      <c r="AL319" s="12">
        <v>1</v>
      </c>
      <c r="AM319" s="10"/>
      <c r="AN319" s="12">
        <f>FAR[[#This Row],[Opening RUL]]+FAR[[#This Row],[RUL Adjustment]]</f>
        <v>1</v>
      </c>
      <c r="AO319" s="12">
        <f>FAR[[#This Row],[Opening RUL 30 June 2026]]-1</f>
        <v>0</v>
      </c>
      <c r="AP319" s="12" t="s">
        <v>1050</v>
      </c>
      <c r="AQ319" s="139"/>
      <c r="AR319" s="10" t="s">
        <v>127</v>
      </c>
      <c r="AS319" s="13">
        <v>6053.38</v>
      </c>
      <c r="AT319" s="13"/>
      <c r="AU319" s="13">
        <v>0</v>
      </c>
      <c r="AV319" s="13">
        <v>0</v>
      </c>
      <c r="AW319" s="13">
        <v>0</v>
      </c>
      <c r="AX319" s="13">
        <v>6053.38</v>
      </c>
      <c r="AY319" s="13">
        <v>336.29888888888945</v>
      </c>
      <c r="AZ319" s="13">
        <v>0</v>
      </c>
      <c r="BA319" s="13"/>
      <c r="BB319" s="13"/>
      <c r="BC319" s="13">
        <v>-5717.0811111111107</v>
      </c>
      <c r="BD319" s="13"/>
      <c r="BE319" s="13" t="s">
        <v>114</v>
      </c>
      <c r="BF319" s="29"/>
      <c r="BG319" s="13"/>
      <c r="BH319" s="13">
        <f>-FAR[[#This Row],[Carrying value (opening balance)]]/FAR[[#This Row],[Opening RUL 30 June 2026]]</f>
        <v>-336.29888888888945</v>
      </c>
      <c r="BI319" s="13">
        <f>FAR[[#This Row],[Depreciation YTD]]/12</f>
        <v>-28.024907407407454</v>
      </c>
      <c r="BJ319" s="13"/>
      <c r="BK319" s="13" t="s">
        <v>116</v>
      </c>
      <c r="BL319" s="13">
        <v>0</v>
      </c>
      <c r="BM319" s="13">
        <f>FAR[[#This Row],[Accumulated depreciation (Opening balance)]]+FAR[[#This Row],[Depreciation YTD]]+FAR[[#This Row],[Derecognitions (acc dep) '[+']]]</f>
        <v>-6053.38</v>
      </c>
      <c r="BN319" s="13"/>
      <c r="BO319" s="13"/>
      <c r="BP319" s="13"/>
      <c r="BQ319" s="13"/>
      <c r="BR31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19" s="13">
        <f>FAR[[#This Row],[Cost Price (closing balance)]]+FAR[[#This Row],[Accumulated depreciation (Closing balance)]]+FAR[[#This Row],[Accumulated impairments (Closing balance)]]</f>
        <v>0</v>
      </c>
      <c r="BT319" s="13"/>
      <c r="BU319" s="13"/>
      <c r="BV319" s="13"/>
      <c r="BW319" s="10" t="s">
        <v>167</v>
      </c>
      <c r="BX319" s="9" t="s">
        <v>168</v>
      </c>
      <c r="BY319" s="10"/>
      <c r="BZ319" t="s">
        <v>1023</v>
      </c>
      <c r="CA319"/>
      <c r="CB319" s="34"/>
      <c r="CC319" s="34"/>
      <c r="CD319" s="34"/>
      <c r="CE319" s="141"/>
    </row>
    <row r="320" spans="1:83">
      <c r="A320" s="35" t="s">
        <v>616</v>
      </c>
      <c r="B320" s="9" t="s">
        <v>874</v>
      </c>
      <c r="C320" s="9" t="s">
        <v>54</v>
      </c>
      <c r="D320" s="10" t="s">
        <v>1</v>
      </c>
      <c r="E320" s="9" t="s">
        <v>115</v>
      </c>
      <c r="F320" s="36" t="s">
        <v>99</v>
      </c>
      <c r="G320" s="9" t="s">
        <v>100</v>
      </c>
      <c r="H320" s="3" t="s">
        <v>623</v>
      </c>
      <c r="I320" s="9" t="s">
        <v>100</v>
      </c>
      <c r="J320" s="36" t="s">
        <v>101</v>
      </c>
      <c r="K320" s="10" t="s">
        <v>559</v>
      </c>
      <c r="L320" s="10" t="s">
        <v>559</v>
      </c>
      <c r="M320" s="9" t="s">
        <v>100</v>
      </c>
      <c r="N320" s="10" t="s">
        <v>639</v>
      </c>
      <c r="O320" s="9" t="s">
        <v>100</v>
      </c>
      <c r="P320" s="10"/>
      <c r="Q320" s="10" t="s">
        <v>639</v>
      </c>
      <c r="R320" s="10" t="s">
        <v>119</v>
      </c>
      <c r="S320" s="10" t="s">
        <v>130</v>
      </c>
      <c r="T320" s="10" t="s">
        <v>120</v>
      </c>
      <c r="U320" s="10" t="s">
        <v>101</v>
      </c>
      <c r="V320" s="10" t="s">
        <v>121</v>
      </c>
      <c r="W320" s="10" t="s">
        <v>122</v>
      </c>
      <c r="X320" s="10" t="s">
        <v>123</v>
      </c>
      <c r="Y320" s="29">
        <v>1</v>
      </c>
      <c r="Z320" s="138" t="s">
        <v>593</v>
      </c>
      <c r="AA320" s="138">
        <v>42270</v>
      </c>
      <c r="AB320" s="9" t="s">
        <v>114</v>
      </c>
      <c r="AC320" s="9" t="s">
        <v>124</v>
      </c>
      <c r="AD320" s="15">
        <v>44651</v>
      </c>
      <c r="AE320" s="39" t="s">
        <v>125</v>
      </c>
      <c r="AF320" s="177">
        <v>6</v>
      </c>
      <c r="AG320" s="140">
        <v>0</v>
      </c>
      <c r="AH320" s="9">
        <v>0</v>
      </c>
      <c r="AI320" s="10" t="s">
        <v>126</v>
      </c>
      <c r="AJ320" s="10"/>
      <c r="AK320" s="29"/>
      <c r="AL320" s="12">
        <v>1</v>
      </c>
      <c r="AM320" s="10"/>
      <c r="AN320" s="12">
        <f>FAR[[#This Row],[Opening RUL]]+FAR[[#This Row],[RUL Adjustment]]</f>
        <v>1</v>
      </c>
      <c r="AO320" s="12">
        <f>FAR[[#This Row],[Opening RUL 30 June 2026]]-1</f>
        <v>0</v>
      </c>
      <c r="AP320" s="12" t="s">
        <v>1051</v>
      </c>
      <c r="AQ320" s="139"/>
      <c r="AR320" s="10" t="s">
        <v>127</v>
      </c>
      <c r="AS320" s="13">
        <v>3551.67</v>
      </c>
      <c r="AT320" s="13"/>
      <c r="AU320" s="13">
        <v>0</v>
      </c>
      <c r="AV320" s="13">
        <v>0</v>
      </c>
      <c r="AW320" s="13">
        <v>0</v>
      </c>
      <c r="AX320" s="13">
        <v>3551.67</v>
      </c>
      <c r="AY320" s="13">
        <v>197.3149999999996</v>
      </c>
      <c r="AZ320" s="13">
        <v>0</v>
      </c>
      <c r="BA320" s="13"/>
      <c r="BB320" s="13"/>
      <c r="BC320" s="13">
        <v>-3354.3550000000005</v>
      </c>
      <c r="BD320" s="13"/>
      <c r="BE320" s="13" t="s">
        <v>114</v>
      </c>
      <c r="BF320" s="29"/>
      <c r="BG320" s="13"/>
      <c r="BH320" s="13">
        <f>-FAR[[#This Row],[Carrying value (opening balance)]]/FAR[[#This Row],[Opening RUL 30 June 2026]]</f>
        <v>-197.3149999999996</v>
      </c>
      <c r="BI320" s="13">
        <f>FAR[[#This Row],[Depreciation YTD]]/12</f>
        <v>-16.442916666666633</v>
      </c>
      <c r="BJ320" s="13"/>
      <c r="BK320" s="13" t="s">
        <v>116</v>
      </c>
      <c r="BL320" s="13">
        <v>0</v>
      </c>
      <c r="BM320" s="13">
        <f>FAR[[#This Row],[Accumulated depreciation (Opening balance)]]+FAR[[#This Row],[Depreciation YTD]]+FAR[[#This Row],[Derecognitions (acc dep) '[+']]]</f>
        <v>-3551.67</v>
      </c>
      <c r="BN320" s="13"/>
      <c r="BO320" s="13"/>
      <c r="BP320" s="13"/>
      <c r="BQ320" s="13"/>
      <c r="BR32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20" s="13">
        <f>FAR[[#This Row],[Cost Price (closing balance)]]+FAR[[#This Row],[Accumulated depreciation (Closing balance)]]+FAR[[#This Row],[Accumulated impairments (Closing balance)]]</f>
        <v>0</v>
      </c>
      <c r="BT320" s="13"/>
      <c r="BU320" s="13"/>
      <c r="BV320" s="13"/>
      <c r="BW320" s="10" t="s">
        <v>167</v>
      </c>
      <c r="BX320" s="9" t="s">
        <v>168</v>
      </c>
      <c r="BY320" s="10"/>
      <c r="BZ320" t="s">
        <v>959</v>
      </c>
      <c r="CA320"/>
      <c r="CB320" s="34"/>
      <c r="CC320" s="34"/>
      <c r="CD320" s="34"/>
      <c r="CE320" s="141"/>
    </row>
    <row r="321" spans="1:83">
      <c r="A321" s="35" t="s">
        <v>617</v>
      </c>
      <c r="B321" s="9">
        <v>0</v>
      </c>
      <c r="C321" s="9" t="s">
        <v>54</v>
      </c>
      <c r="D321" s="10" t="s">
        <v>1</v>
      </c>
      <c r="E321" s="9" t="s">
        <v>115</v>
      </c>
      <c r="F321" s="36" t="s">
        <v>99</v>
      </c>
      <c r="G321" s="9" t="s">
        <v>100</v>
      </c>
      <c r="H321" s="3" t="s">
        <v>623</v>
      </c>
      <c r="I321" s="9" t="s">
        <v>100</v>
      </c>
      <c r="J321" s="36" t="s">
        <v>101</v>
      </c>
      <c r="K321" s="10" t="s">
        <v>559</v>
      </c>
      <c r="L321" s="10" t="s">
        <v>559</v>
      </c>
      <c r="M321" s="9" t="s">
        <v>100</v>
      </c>
      <c r="N321" s="10" t="s">
        <v>640</v>
      </c>
      <c r="O321" s="9" t="s">
        <v>100</v>
      </c>
      <c r="P321" s="10"/>
      <c r="Q321" s="10" t="s">
        <v>640</v>
      </c>
      <c r="R321" s="10" t="s">
        <v>119</v>
      </c>
      <c r="S321" s="10" t="s">
        <v>130</v>
      </c>
      <c r="T321" s="10" t="s">
        <v>120</v>
      </c>
      <c r="U321" s="10" t="s">
        <v>101</v>
      </c>
      <c r="V321" s="10" t="s">
        <v>121</v>
      </c>
      <c r="W321" s="10" t="s">
        <v>122</v>
      </c>
      <c r="X321" s="10" t="s">
        <v>123</v>
      </c>
      <c r="Y321" s="29">
        <v>1</v>
      </c>
      <c r="Z321" s="138" t="s">
        <v>672</v>
      </c>
      <c r="AA321" s="138">
        <v>42738</v>
      </c>
      <c r="AB321" s="9" t="s">
        <v>114</v>
      </c>
      <c r="AC321" s="9" t="s">
        <v>124</v>
      </c>
      <c r="AD321" s="15">
        <v>44651</v>
      </c>
      <c r="AE321" s="39" t="s">
        <v>125</v>
      </c>
      <c r="AF321" s="177">
        <v>6</v>
      </c>
      <c r="AG321" s="140">
        <v>0</v>
      </c>
      <c r="AH321" s="9">
        <v>0</v>
      </c>
      <c r="AI321" s="10" t="s">
        <v>126</v>
      </c>
      <c r="AJ321" s="10"/>
      <c r="AK321" s="29"/>
      <c r="AL321" s="12">
        <v>2.5095890410958903</v>
      </c>
      <c r="AM321" s="10"/>
      <c r="AN321" s="12">
        <f>FAR[[#This Row],[Opening RUL]]+FAR[[#This Row],[RUL Adjustment]]</f>
        <v>2.5095890410958903</v>
      </c>
      <c r="AO321" s="12">
        <f>FAR[[#This Row],[Opening RUL 30 June 2026]]-1</f>
        <v>1.5095890410958903</v>
      </c>
      <c r="AP321" s="12">
        <v>0</v>
      </c>
      <c r="AQ321" s="139"/>
      <c r="AR321" s="10" t="s">
        <v>127</v>
      </c>
      <c r="AS321" s="13">
        <v>15445.58</v>
      </c>
      <c r="AT321" s="13"/>
      <c r="AU321" s="13">
        <v>0</v>
      </c>
      <c r="AV321" s="13"/>
      <c r="AW321" s="13">
        <v>0</v>
      </c>
      <c r="AX321" s="13">
        <v>15445.58</v>
      </c>
      <c r="AY321" s="13">
        <v>259.35112050312819</v>
      </c>
      <c r="AZ321" s="13">
        <v>0</v>
      </c>
      <c r="BA321" s="13"/>
      <c r="BB321" s="13"/>
      <c r="BC321" s="13">
        <v>-15186.228879496872</v>
      </c>
      <c r="BD321" s="13"/>
      <c r="BE321" s="13" t="s">
        <v>114</v>
      </c>
      <c r="BF321" s="29"/>
      <c r="BG321" s="13"/>
      <c r="BH321" s="13">
        <f>-FAR[[#This Row],[Carrying value (opening balance)]]/FAR[[#This Row],[Opening RUL 30 June 2026]]</f>
        <v>-103.34406002580981</v>
      </c>
      <c r="BI321" s="13">
        <f>FAR[[#This Row],[Depreciation YTD]]/12</f>
        <v>-8.6120050021508181</v>
      </c>
      <c r="BJ321" s="13"/>
      <c r="BK321" s="13" t="s">
        <v>116</v>
      </c>
      <c r="BL321" s="13">
        <v>0</v>
      </c>
      <c r="BM321" s="13">
        <f>FAR[[#This Row],[Accumulated depreciation (Opening balance)]]+FAR[[#This Row],[Depreciation YTD]]+FAR[[#This Row],[Derecognitions (acc dep) '[+']]]</f>
        <v>-15289.572939522681</v>
      </c>
      <c r="BN321" s="13"/>
      <c r="BO321" s="13"/>
      <c r="BP321" s="13"/>
      <c r="BQ321" s="13"/>
      <c r="BR32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21" s="13">
        <f>FAR[[#This Row],[Cost Price (closing balance)]]+FAR[[#This Row],[Accumulated depreciation (Closing balance)]]+FAR[[#This Row],[Accumulated impairments (Closing balance)]]</f>
        <v>156.0070604773191</v>
      </c>
      <c r="BT321" s="13"/>
      <c r="BU321" s="13"/>
      <c r="BV321" s="13"/>
      <c r="BW321" s="10" t="s">
        <v>167</v>
      </c>
      <c r="BX321" s="9" t="s">
        <v>168</v>
      </c>
      <c r="BY321" s="10"/>
      <c r="BZ321">
        <v>0</v>
      </c>
      <c r="CA321"/>
      <c r="CB321" s="34"/>
      <c r="CC321" s="34"/>
      <c r="CD321" s="34"/>
      <c r="CE321" s="141"/>
    </row>
    <row r="322" spans="1:83">
      <c r="A322" s="35" t="s">
        <v>618</v>
      </c>
      <c r="B322" s="9" t="s">
        <v>919</v>
      </c>
      <c r="C322" s="9" t="s">
        <v>54</v>
      </c>
      <c r="D322" s="10" t="s">
        <v>1</v>
      </c>
      <c r="E322" s="9" t="s">
        <v>115</v>
      </c>
      <c r="F322" s="36" t="s">
        <v>99</v>
      </c>
      <c r="G322" s="9" t="s">
        <v>100</v>
      </c>
      <c r="H322" s="3" t="s">
        <v>623</v>
      </c>
      <c r="I322" s="9" t="s">
        <v>100</v>
      </c>
      <c r="J322" s="36" t="s">
        <v>101</v>
      </c>
      <c r="K322" s="10" t="s">
        <v>559</v>
      </c>
      <c r="L322" s="10" t="s">
        <v>559</v>
      </c>
      <c r="M322" s="9" t="s">
        <v>100</v>
      </c>
      <c r="N322" s="10" t="s">
        <v>641</v>
      </c>
      <c r="O322" s="9" t="s">
        <v>100</v>
      </c>
      <c r="P322" s="10"/>
      <c r="Q322" s="10" t="s">
        <v>641</v>
      </c>
      <c r="R322" s="10" t="s">
        <v>119</v>
      </c>
      <c r="S322" s="10" t="s">
        <v>130</v>
      </c>
      <c r="T322" s="10" t="s">
        <v>120</v>
      </c>
      <c r="U322" s="10" t="s">
        <v>101</v>
      </c>
      <c r="V322" s="10" t="s">
        <v>121</v>
      </c>
      <c r="W322" s="10" t="s">
        <v>122</v>
      </c>
      <c r="X322" s="10" t="s">
        <v>123</v>
      </c>
      <c r="Y322" s="29">
        <v>1</v>
      </c>
      <c r="Z322" s="138" t="s">
        <v>594</v>
      </c>
      <c r="AA322" s="138">
        <v>42807</v>
      </c>
      <c r="AB322" s="9" t="s">
        <v>114</v>
      </c>
      <c r="AC322" s="9" t="s">
        <v>124</v>
      </c>
      <c r="AD322" s="15">
        <v>44651</v>
      </c>
      <c r="AE322" s="39" t="s">
        <v>125</v>
      </c>
      <c r="AF322" s="177">
        <v>6</v>
      </c>
      <c r="AG322" s="140">
        <v>0</v>
      </c>
      <c r="AH322" s="9">
        <v>0</v>
      </c>
      <c r="AI322" s="10" t="s">
        <v>126</v>
      </c>
      <c r="AJ322" s="10"/>
      <c r="AK322" s="29"/>
      <c r="AL322" s="12">
        <v>1.6986301369863011</v>
      </c>
      <c r="AM322" s="10"/>
      <c r="AN322" s="12">
        <f>FAR[[#This Row],[Opening RUL]]+FAR[[#This Row],[RUL Adjustment]]</f>
        <v>1.6986301369863011</v>
      </c>
      <c r="AO322" s="12">
        <f>FAR[[#This Row],[Opening RUL 30 June 2026]]-1</f>
        <v>0.69863013698630105</v>
      </c>
      <c r="AP322" s="12" t="s">
        <v>1051</v>
      </c>
      <c r="AQ322" s="139"/>
      <c r="AR322" s="10" t="s">
        <v>127</v>
      </c>
      <c r="AS322" s="13">
        <v>6636</v>
      </c>
      <c r="AT322" s="13"/>
      <c r="AU322" s="13">
        <v>0</v>
      </c>
      <c r="AV322" s="13">
        <v>0</v>
      </c>
      <c r="AW322" s="13">
        <v>0</v>
      </c>
      <c r="AX322" s="13">
        <v>6636</v>
      </c>
      <c r="AY322" s="13">
        <v>120.53884038353044</v>
      </c>
      <c r="AZ322" s="13">
        <v>0</v>
      </c>
      <c r="BA322" s="13"/>
      <c r="BB322" s="13"/>
      <c r="BC322" s="13">
        <v>-6515.4611596164696</v>
      </c>
      <c r="BD322" s="13"/>
      <c r="BE322" s="13" t="s">
        <v>114</v>
      </c>
      <c r="BF322" s="29"/>
      <c r="BG322" s="13"/>
      <c r="BH322" s="13">
        <f>-FAR[[#This Row],[Carrying value (opening balance)]]/FAR[[#This Row],[Opening RUL 30 June 2026]]</f>
        <v>-70.962381838691329</v>
      </c>
      <c r="BI322" s="13">
        <f>FAR[[#This Row],[Depreciation YTD]]/12</f>
        <v>-5.9135318198909443</v>
      </c>
      <c r="BJ322" s="13"/>
      <c r="BK322" s="13" t="s">
        <v>116</v>
      </c>
      <c r="BL322" s="13">
        <v>0</v>
      </c>
      <c r="BM322" s="13">
        <f>FAR[[#This Row],[Accumulated depreciation (Opening balance)]]+FAR[[#This Row],[Depreciation YTD]]+FAR[[#This Row],[Derecognitions (acc dep) '[+']]]</f>
        <v>-6586.4235414551613</v>
      </c>
      <c r="BN322" s="13"/>
      <c r="BO322" s="13"/>
      <c r="BP322" s="13"/>
      <c r="BQ322" s="13"/>
      <c r="BR32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22" s="13">
        <f>FAR[[#This Row],[Cost Price (closing balance)]]+FAR[[#This Row],[Accumulated depreciation (Closing balance)]]+FAR[[#This Row],[Accumulated impairments (Closing balance)]]</f>
        <v>49.576458544838715</v>
      </c>
      <c r="BT322" s="13"/>
      <c r="BU322" s="13"/>
      <c r="BV322" s="13"/>
      <c r="BW322" s="10" t="s">
        <v>167</v>
      </c>
      <c r="BX322" s="9" t="s">
        <v>168</v>
      </c>
      <c r="BY322" s="10"/>
      <c r="BZ322" t="s">
        <v>940</v>
      </c>
      <c r="CA322"/>
      <c r="CB322" s="34"/>
      <c r="CC322" s="34"/>
      <c r="CD322" s="34"/>
      <c r="CE322" s="141"/>
    </row>
    <row r="323" spans="1:83">
      <c r="A323" s="35" t="s">
        <v>619</v>
      </c>
      <c r="B323" s="9" t="s">
        <v>914</v>
      </c>
      <c r="C323" s="9" t="s">
        <v>54</v>
      </c>
      <c r="D323" s="10" t="s">
        <v>1</v>
      </c>
      <c r="E323" s="9" t="s">
        <v>115</v>
      </c>
      <c r="F323" s="36" t="s">
        <v>99</v>
      </c>
      <c r="G323" s="9" t="s">
        <v>100</v>
      </c>
      <c r="H323" s="3" t="s">
        <v>623</v>
      </c>
      <c r="I323" s="9" t="s">
        <v>100</v>
      </c>
      <c r="J323" s="36" t="s">
        <v>101</v>
      </c>
      <c r="K323" s="10" t="s">
        <v>559</v>
      </c>
      <c r="L323" s="10" t="s">
        <v>559</v>
      </c>
      <c r="M323" s="9" t="s">
        <v>100</v>
      </c>
      <c r="N323" s="10" t="s">
        <v>642</v>
      </c>
      <c r="O323" s="9" t="s">
        <v>100</v>
      </c>
      <c r="P323" s="10"/>
      <c r="Q323" s="10" t="s">
        <v>642</v>
      </c>
      <c r="R323" s="10" t="s">
        <v>119</v>
      </c>
      <c r="S323" s="10" t="s">
        <v>130</v>
      </c>
      <c r="T323" s="10" t="s">
        <v>120</v>
      </c>
      <c r="U323" s="10" t="s">
        <v>101</v>
      </c>
      <c r="V323" s="10" t="s">
        <v>121</v>
      </c>
      <c r="W323" s="10" t="s">
        <v>122</v>
      </c>
      <c r="X323" s="10" t="s">
        <v>123</v>
      </c>
      <c r="Y323" s="29">
        <v>1</v>
      </c>
      <c r="Z323" s="138" t="s">
        <v>673</v>
      </c>
      <c r="AA323" s="138">
        <v>42809</v>
      </c>
      <c r="AB323" s="9" t="s">
        <v>114</v>
      </c>
      <c r="AC323" s="9" t="s">
        <v>124</v>
      </c>
      <c r="AD323" s="15">
        <v>44651</v>
      </c>
      <c r="AE323" s="39" t="s">
        <v>125</v>
      </c>
      <c r="AF323" s="177">
        <v>6</v>
      </c>
      <c r="AG323" s="140">
        <v>0</v>
      </c>
      <c r="AH323" s="9">
        <v>0</v>
      </c>
      <c r="AI323" s="10" t="s">
        <v>126</v>
      </c>
      <c r="AJ323" s="10"/>
      <c r="AK323" s="29"/>
      <c r="AL323" s="12">
        <v>1.7041095890410958</v>
      </c>
      <c r="AM323" s="10"/>
      <c r="AN323" s="12">
        <f>FAR[[#This Row],[Opening RUL]]+FAR[[#This Row],[RUL Adjustment]]</f>
        <v>1.7041095890410958</v>
      </c>
      <c r="AO323" s="12">
        <f>FAR[[#This Row],[Opening RUL 30 June 2026]]-1</f>
        <v>0.70410958904109577</v>
      </c>
      <c r="AP323" s="12" t="s">
        <v>1050</v>
      </c>
      <c r="AQ323" s="139"/>
      <c r="AR323" s="10" t="s">
        <v>127</v>
      </c>
      <c r="AS323" s="13">
        <v>3500</v>
      </c>
      <c r="AT323" s="13"/>
      <c r="AU323" s="13">
        <v>0</v>
      </c>
      <c r="AV323" s="13">
        <v>0</v>
      </c>
      <c r="AW323" s="13">
        <v>0</v>
      </c>
      <c r="AX323" s="13">
        <v>3500</v>
      </c>
      <c r="AY323" s="13">
        <v>64.05545080124466</v>
      </c>
      <c r="AZ323" s="13">
        <v>0</v>
      </c>
      <c r="BA323" s="13"/>
      <c r="BB323" s="13"/>
      <c r="BC323" s="13">
        <v>-3435.9445491987553</v>
      </c>
      <c r="BD323" s="13"/>
      <c r="BE323" s="13" t="s">
        <v>114</v>
      </c>
      <c r="BF323" s="29"/>
      <c r="BG323" s="13"/>
      <c r="BH323" s="13">
        <f>-FAR[[#This Row],[Carrying value (opening balance)]]/FAR[[#This Row],[Opening RUL 30 June 2026]]</f>
        <v>-37.588809553785055</v>
      </c>
      <c r="BI323" s="13">
        <f>FAR[[#This Row],[Depreciation YTD]]/12</f>
        <v>-3.1324007961487546</v>
      </c>
      <c r="BJ323" s="13"/>
      <c r="BK323" s="13" t="s">
        <v>116</v>
      </c>
      <c r="BL323" s="13">
        <v>0</v>
      </c>
      <c r="BM323" s="13">
        <f>FAR[[#This Row],[Accumulated depreciation (Opening balance)]]+FAR[[#This Row],[Depreciation YTD]]+FAR[[#This Row],[Derecognitions (acc dep) '[+']]]</f>
        <v>-3473.5333587525406</v>
      </c>
      <c r="BN323" s="13"/>
      <c r="BO323" s="13"/>
      <c r="BP323" s="13"/>
      <c r="BQ323" s="13"/>
      <c r="BR32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23" s="13">
        <f>FAR[[#This Row],[Cost Price (closing balance)]]+FAR[[#This Row],[Accumulated depreciation (Closing balance)]]+FAR[[#This Row],[Accumulated impairments (Closing balance)]]</f>
        <v>26.466641247459393</v>
      </c>
      <c r="BT323" s="13"/>
      <c r="BU323" s="13"/>
      <c r="BV323" s="13"/>
      <c r="BW323" s="10" t="s">
        <v>167</v>
      </c>
      <c r="BX323" s="9" t="s">
        <v>168</v>
      </c>
      <c r="BY323" s="10"/>
      <c r="BZ323" t="s">
        <v>938</v>
      </c>
      <c r="CA323"/>
      <c r="CB323" s="34"/>
      <c r="CC323" s="34"/>
      <c r="CD323" s="34"/>
      <c r="CE323" s="141"/>
    </row>
    <row r="324" spans="1:83">
      <c r="A324" s="35" t="s">
        <v>620</v>
      </c>
      <c r="B324" s="9">
        <v>0</v>
      </c>
      <c r="C324" s="9" t="s">
        <v>54</v>
      </c>
      <c r="D324" s="10" t="s">
        <v>1</v>
      </c>
      <c r="E324" s="9" t="s">
        <v>115</v>
      </c>
      <c r="F324" s="36" t="s">
        <v>99</v>
      </c>
      <c r="G324" s="9" t="s">
        <v>100</v>
      </c>
      <c r="H324" s="3" t="s">
        <v>623</v>
      </c>
      <c r="I324" s="9" t="s">
        <v>100</v>
      </c>
      <c r="J324" s="36" t="s">
        <v>101</v>
      </c>
      <c r="K324" s="10" t="s">
        <v>559</v>
      </c>
      <c r="L324" s="10" t="s">
        <v>559</v>
      </c>
      <c r="M324" s="9" t="s">
        <v>100</v>
      </c>
      <c r="N324" s="10" t="s">
        <v>643</v>
      </c>
      <c r="O324" s="9" t="s">
        <v>100</v>
      </c>
      <c r="P324" s="10"/>
      <c r="Q324" s="10" t="s">
        <v>643</v>
      </c>
      <c r="R324" s="10" t="s">
        <v>119</v>
      </c>
      <c r="S324" s="10" t="s">
        <v>130</v>
      </c>
      <c r="T324" s="10" t="s">
        <v>120</v>
      </c>
      <c r="U324" s="10" t="s">
        <v>101</v>
      </c>
      <c r="V324" s="10" t="s">
        <v>121</v>
      </c>
      <c r="W324" s="10" t="s">
        <v>122</v>
      </c>
      <c r="X324" s="10" t="s">
        <v>123</v>
      </c>
      <c r="Y324" s="29">
        <v>1</v>
      </c>
      <c r="Z324" s="138" t="s">
        <v>594</v>
      </c>
      <c r="AA324" s="138">
        <v>42807</v>
      </c>
      <c r="AB324" s="9" t="s">
        <v>114</v>
      </c>
      <c r="AC324" s="9" t="s">
        <v>124</v>
      </c>
      <c r="AD324" s="15">
        <v>44651</v>
      </c>
      <c r="AE324" s="39" t="s">
        <v>125</v>
      </c>
      <c r="AF324" s="177">
        <v>6</v>
      </c>
      <c r="AG324" s="140">
        <v>0</v>
      </c>
      <c r="AH324" s="9">
        <v>0</v>
      </c>
      <c r="AI324" s="10" t="s">
        <v>126</v>
      </c>
      <c r="AJ324" s="10"/>
      <c r="AK324" s="29"/>
      <c r="AL324" s="12">
        <v>1.6986301369863011</v>
      </c>
      <c r="AM324" s="10"/>
      <c r="AN324" s="12">
        <f>FAR[[#This Row],[Opening RUL]]+FAR[[#This Row],[RUL Adjustment]]</f>
        <v>1.6986301369863011</v>
      </c>
      <c r="AO324" s="12">
        <f>FAR[[#This Row],[Opening RUL 30 June 2026]]-1</f>
        <v>0.69863013698630105</v>
      </c>
      <c r="AP324" s="12">
        <v>0</v>
      </c>
      <c r="AQ324" s="139"/>
      <c r="AR324" s="10" t="s">
        <v>127</v>
      </c>
      <c r="AS324" s="13">
        <v>11759.33</v>
      </c>
      <c r="AT324" s="13"/>
      <c r="AU324" s="13">
        <v>0</v>
      </c>
      <c r="AV324" s="13">
        <v>0</v>
      </c>
      <c r="AW324" s="13">
        <v>0</v>
      </c>
      <c r="AX324" s="13">
        <v>11759.33</v>
      </c>
      <c r="AY324" s="13">
        <v>213.60115510434298</v>
      </c>
      <c r="AZ324" s="13">
        <v>0</v>
      </c>
      <c r="BA324" s="13"/>
      <c r="BB324" s="13"/>
      <c r="BC324" s="13">
        <v>-11545.728844895657</v>
      </c>
      <c r="BD324" s="13"/>
      <c r="BE324" s="13" t="s">
        <v>114</v>
      </c>
      <c r="BF324" s="29"/>
      <c r="BG324" s="13"/>
      <c r="BH324" s="13">
        <f>-FAR[[#This Row],[Carrying value (opening balance)]]/FAR[[#This Row],[Opening RUL 30 June 2026]]</f>
        <v>-125.74906711787936</v>
      </c>
      <c r="BI324" s="13">
        <f>FAR[[#This Row],[Depreciation YTD]]/12</f>
        <v>-10.479088926489947</v>
      </c>
      <c r="BJ324" s="13"/>
      <c r="BK324" s="13" t="s">
        <v>116</v>
      </c>
      <c r="BL324" s="13">
        <v>0</v>
      </c>
      <c r="BM324" s="13">
        <f>FAR[[#This Row],[Accumulated depreciation (Opening balance)]]+FAR[[#This Row],[Depreciation YTD]]+FAR[[#This Row],[Derecognitions (acc dep) '[+']]]</f>
        <v>-11671.477912013537</v>
      </c>
      <c r="BN324" s="13"/>
      <c r="BO324" s="13"/>
      <c r="BP324" s="13"/>
      <c r="BQ324" s="13"/>
      <c r="BR32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24" s="13">
        <f>FAR[[#This Row],[Cost Price (closing balance)]]+FAR[[#This Row],[Accumulated depreciation (Closing balance)]]+FAR[[#This Row],[Accumulated impairments (Closing balance)]]</f>
        <v>87.85208798646272</v>
      </c>
      <c r="BT324" s="13"/>
      <c r="BU324" s="13"/>
      <c r="BV324" s="13"/>
      <c r="BW324" s="10" t="s">
        <v>167</v>
      </c>
      <c r="BX324" s="9" t="s">
        <v>168</v>
      </c>
      <c r="BY324" s="10"/>
      <c r="BZ324">
        <v>0</v>
      </c>
      <c r="CA324"/>
      <c r="CB324" s="34"/>
      <c r="CC324" s="34"/>
      <c r="CD324" s="34"/>
      <c r="CE324" s="141"/>
    </row>
    <row r="325" spans="1:83">
      <c r="A325" s="35" t="s">
        <v>621</v>
      </c>
      <c r="B325" s="9">
        <v>0</v>
      </c>
      <c r="C325" s="9" t="s">
        <v>54</v>
      </c>
      <c r="D325" s="10" t="s">
        <v>1</v>
      </c>
      <c r="E325" s="9" t="s">
        <v>115</v>
      </c>
      <c r="F325" s="36" t="s">
        <v>99</v>
      </c>
      <c r="G325" s="9" t="s">
        <v>100</v>
      </c>
      <c r="H325" s="3" t="s">
        <v>623</v>
      </c>
      <c r="I325" s="9" t="s">
        <v>100</v>
      </c>
      <c r="J325" s="36" t="s">
        <v>101</v>
      </c>
      <c r="K325" s="10" t="s">
        <v>559</v>
      </c>
      <c r="L325" s="10" t="s">
        <v>559</v>
      </c>
      <c r="M325" s="9" t="s">
        <v>100</v>
      </c>
      <c r="N325" s="10" t="s">
        <v>644</v>
      </c>
      <c r="O325" s="9" t="s">
        <v>100</v>
      </c>
      <c r="P325" s="10"/>
      <c r="Q325" s="10" t="s">
        <v>644</v>
      </c>
      <c r="R325" s="10" t="s">
        <v>119</v>
      </c>
      <c r="S325" s="10" t="s">
        <v>130</v>
      </c>
      <c r="T325" s="10" t="s">
        <v>120</v>
      </c>
      <c r="U325" s="10" t="s">
        <v>101</v>
      </c>
      <c r="V325" s="10" t="s">
        <v>121</v>
      </c>
      <c r="W325" s="10" t="s">
        <v>122</v>
      </c>
      <c r="X325" s="10" t="s">
        <v>123</v>
      </c>
      <c r="Y325" s="29">
        <v>1</v>
      </c>
      <c r="Z325" s="138" t="s">
        <v>594</v>
      </c>
      <c r="AA325" s="138">
        <v>42807</v>
      </c>
      <c r="AB325" s="9" t="s">
        <v>114</v>
      </c>
      <c r="AC325" s="9" t="s">
        <v>124</v>
      </c>
      <c r="AD325" s="15">
        <v>44651</v>
      </c>
      <c r="AE325" s="39" t="s">
        <v>125</v>
      </c>
      <c r="AF325" s="177">
        <v>6</v>
      </c>
      <c r="AG325" s="140">
        <v>0</v>
      </c>
      <c r="AH325" s="9">
        <v>0</v>
      </c>
      <c r="AI325" s="10" t="s">
        <v>126</v>
      </c>
      <c r="AJ325" s="10"/>
      <c r="AK325" s="29"/>
      <c r="AL325" s="12">
        <v>1.6986301369863011</v>
      </c>
      <c r="AM325" s="10"/>
      <c r="AN325" s="12">
        <f>FAR[[#This Row],[Opening RUL]]+FAR[[#This Row],[RUL Adjustment]]</f>
        <v>1.6986301369863011</v>
      </c>
      <c r="AO325" s="12">
        <f>FAR[[#This Row],[Opening RUL 30 June 2026]]-1</f>
        <v>0.69863013698630105</v>
      </c>
      <c r="AP325" s="12">
        <v>0</v>
      </c>
      <c r="AQ325" s="139"/>
      <c r="AR325" s="10" t="s">
        <v>127</v>
      </c>
      <c r="AS325" s="13">
        <v>6652.8</v>
      </c>
      <c r="AT325" s="13"/>
      <c r="AU325" s="13">
        <v>0</v>
      </c>
      <c r="AV325" s="13">
        <v>0</v>
      </c>
      <c r="AW325" s="13">
        <v>0</v>
      </c>
      <c r="AX325" s="13">
        <v>6652.8</v>
      </c>
      <c r="AY325" s="13">
        <v>120.84439932318128</v>
      </c>
      <c r="AZ325" s="13">
        <v>0</v>
      </c>
      <c r="BA325" s="13"/>
      <c r="BB325" s="13"/>
      <c r="BC325" s="13">
        <v>-6531.9556006768189</v>
      </c>
      <c r="BD325" s="13"/>
      <c r="BE325" s="13" t="s">
        <v>114</v>
      </c>
      <c r="BF325" s="29"/>
      <c r="BG325" s="13"/>
      <c r="BH325" s="13">
        <f>-FAR[[#This Row],[Carrying value (opening balance)]]/FAR[[#This Row],[Opening RUL 30 June 2026]]</f>
        <v>-71.14226734348577</v>
      </c>
      <c r="BI325" s="13">
        <f>FAR[[#This Row],[Depreciation YTD]]/12</f>
        <v>-5.9285222786238139</v>
      </c>
      <c r="BJ325" s="13"/>
      <c r="BK325" s="13" t="s">
        <v>116</v>
      </c>
      <c r="BL325" s="13">
        <v>0</v>
      </c>
      <c r="BM325" s="13">
        <f>FAR[[#This Row],[Accumulated depreciation (Opening balance)]]+FAR[[#This Row],[Depreciation YTD]]+FAR[[#This Row],[Derecognitions (acc dep) '[+']]]</f>
        <v>-6603.0978680203043</v>
      </c>
      <c r="BN325" s="13"/>
      <c r="BO325" s="13"/>
      <c r="BP325" s="13"/>
      <c r="BQ325" s="13"/>
      <c r="BR32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25" s="13">
        <f>FAR[[#This Row],[Cost Price (closing balance)]]+FAR[[#This Row],[Accumulated depreciation (Closing balance)]]+FAR[[#This Row],[Accumulated impairments (Closing balance)]]</f>
        <v>49.702131979695878</v>
      </c>
      <c r="BT325" s="13"/>
      <c r="BU325" s="13"/>
      <c r="BV325" s="13"/>
      <c r="BW325" s="10" t="s">
        <v>167</v>
      </c>
      <c r="BX325" s="9" t="s">
        <v>168</v>
      </c>
      <c r="BY325" s="10"/>
      <c r="BZ325">
        <v>0</v>
      </c>
      <c r="CA325"/>
      <c r="CB325" s="34"/>
      <c r="CC325" s="34"/>
      <c r="CD325" s="34"/>
      <c r="CE325" s="141"/>
    </row>
    <row r="326" spans="1:83">
      <c r="A326" s="35" t="s">
        <v>622</v>
      </c>
      <c r="B326" s="9" t="s">
        <v>910</v>
      </c>
      <c r="C326" s="9" t="s">
        <v>54</v>
      </c>
      <c r="D326" s="10" t="s">
        <v>1</v>
      </c>
      <c r="E326" s="9" t="s">
        <v>115</v>
      </c>
      <c r="F326" s="36" t="s">
        <v>99</v>
      </c>
      <c r="G326" s="9" t="s">
        <v>100</v>
      </c>
      <c r="H326" s="3" t="s">
        <v>623</v>
      </c>
      <c r="I326" s="9" t="s">
        <v>100</v>
      </c>
      <c r="J326" s="36" t="s">
        <v>101</v>
      </c>
      <c r="K326" s="10" t="s">
        <v>559</v>
      </c>
      <c r="L326" s="10" t="s">
        <v>559</v>
      </c>
      <c r="M326" s="9" t="s">
        <v>100</v>
      </c>
      <c r="N326" s="10" t="s">
        <v>645</v>
      </c>
      <c r="O326" s="9" t="s">
        <v>100</v>
      </c>
      <c r="P326" s="10"/>
      <c r="Q326" s="10" t="s">
        <v>645</v>
      </c>
      <c r="R326" s="10" t="s">
        <v>119</v>
      </c>
      <c r="S326" s="10" t="s">
        <v>130</v>
      </c>
      <c r="T326" s="10" t="s">
        <v>120</v>
      </c>
      <c r="U326" s="10" t="s">
        <v>101</v>
      </c>
      <c r="V326" s="10" t="s">
        <v>121</v>
      </c>
      <c r="W326" s="10" t="s">
        <v>122</v>
      </c>
      <c r="X326" s="10" t="s">
        <v>123</v>
      </c>
      <c r="Y326" s="29">
        <v>1</v>
      </c>
      <c r="Z326" s="138" t="s">
        <v>594</v>
      </c>
      <c r="AA326" s="138">
        <v>42807</v>
      </c>
      <c r="AB326" s="9" t="s">
        <v>114</v>
      </c>
      <c r="AC326" s="9" t="s">
        <v>124</v>
      </c>
      <c r="AD326" s="15">
        <v>44651</v>
      </c>
      <c r="AE326" s="39" t="s">
        <v>125</v>
      </c>
      <c r="AF326" s="177">
        <v>6</v>
      </c>
      <c r="AG326" s="140">
        <v>0</v>
      </c>
      <c r="AH326" s="9">
        <v>0</v>
      </c>
      <c r="AI326" s="10" t="s">
        <v>126</v>
      </c>
      <c r="AJ326" s="10"/>
      <c r="AK326" s="29"/>
      <c r="AL326" s="12">
        <v>1.6986301369863011</v>
      </c>
      <c r="AM326" s="10"/>
      <c r="AN326" s="12">
        <f>FAR[[#This Row],[Opening RUL]]+FAR[[#This Row],[RUL Adjustment]]</f>
        <v>1.6986301369863011</v>
      </c>
      <c r="AO326" s="12">
        <f>FAR[[#This Row],[Opening RUL 30 June 2026]]-1</f>
        <v>0.69863013698630105</v>
      </c>
      <c r="AP326" s="12" t="s">
        <v>1050</v>
      </c>
      <c r="AQ326" s="139"/>
      <c r="AR326" s="10" t="s">
        <v>127</v>
      </c>
      <c r="AS326" s="13">
        <v>9566.4599999999991</v>
      </c>
      <c r="AT326" s="13"/>
      <c r="AU326" s="13">
        <v>0</v>
      </c>
      <c r="AV326" s="13">
        <v>0</v>
      </c>
      <c r="AW326" s="13">
        <v>0</v>
      </c>
      <c r="AX326" s="13">
        <v>9566.4599999999991</v>
      </c>
      <c r="AY326" s="13">
        <v>173.76910998307903</v>
      </c>
      <c r="AZ326" s="13">
        <v>0</v>
      </c>
      <c r="BA326" s="13"/>
      <c r="BB326" s="13"/>
      <c r="BC326" s="13">
        <v>-9392.6908900169201</v>
      </c>
      <c r="BD326" s="13"/>
      <c r="BE326" s="13" t="s">
        <v>114</v>
      </c>
      <c r="BF326" s="29"/>
      <c r="BG326" s="13"/>
      <c r="BH326" s="13">
        <f>-FAR[[#This Row],[Carrying value (opening balance)]]/FAR[[#This Row],[Opening RUL 30 June 2026]]</f>
        <v>-102.29955668358687</v>
      </c>
      <c r="BI326" s="13">
        <f>FAR[[#This Row],[Depreciation YTD]]/12</f>
        <v>-8.5249630569655732</v>
      </c>
      <c r="BJ326" s="13"/>
      <c r="BK326" s="13" t="s">
        <v>116</v>
      </c>
      <c r="BL326" s="13">
        <v>0</v>
      </c>
      <c r="BM326" s="13">
        <f>FAR[[#This Row],[Accumulated depreciation (Opening balance)]]+FAR[[#This Row],[Depreciation YTD]]+FAR[[#This Row],[Derecognitions (acc dep) '[+']]]</f>
        <v>-9494.9904467005072</v>
      </c>
      <c r="BN326" s="13"/>
      <c r="BO326" s="13"/>
      <c r="BP326" s="13"/>
      <c r="BQ326" s="13"/>
      <c r="BR32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26" s="13">
        <f>FAR[[#This Row],[Cost Price (closing balance)]]+FAR[[#This Row],[Accumulated depreciation (Closing balance)]]+FAR[[#This Row],[Accumulated impairments (Closing balance)]]</f>
        <v>71.469553299491963</v>
      </c>
      <c r="BT326" s="13"/>
      <c r="BU326" s="13"/>
      <c r="BV326" s="13"/>
      <c r="BW326" s="10" t="s">
        <v>167</v>
      </c>
      <c r="BX326" s="9" t="s">
        <v>168</v>
      </c>
      <c r="BY326" s="10"/>
      <c r="BZ326" t="s">
        <v>953</v>
      </c>
      <c r="CA326"/>
      <c r="CB326" s="34"/>
      <c r="CC326" s="34"/>
      <c r="CD326" s="34"/>
      <c r="CE326" s="141"/>
    </row>
    <row r="327" spans="1:83">
      <c r="A327" s="35">
        <v>1067</v>
      </c>
      <c r="B327" s="9" t="s">
        <v>917</v>
      </c>
      <c r="C327" s="9" t="s">
        <v>54</v>
      </c>
      <c r="D327" s="10" t="s">
        <v>1</v>
      </c>
      <c r="E327" s="9" t="s">
        <v>115</v>
      </c>
      <c r="F327" s="36" t="s">
        <v>99</v>
      </c>
      <c r="G327" s="9" t="s">
        <v>100</v>
      </c>
      <c r="H327" s="3" t="s">
        <v>623</v>
      </c>
      <c r="I327" s="9" t="s">
        <v>100</v>
      </c>
      <c r="J327" s="36" t="s">
        <v>101</v>
      </c>
      <c r="K327" s="10" t="s">
        <v>559</v>
      </c>
      <c r="L327" s="10" t="s">
        <v>559</v>
      </c>
      <c r="M327" s="9" t="s">
        <v>100</v>
      </c>
      <c r="N327" s="10" t="s">
        <v>646</v>
      </c>
      <c r="O327" s="9" t="s">
        <v>100</v>
      </c>
      <c r="P327" s="10"/>
      <c r="Q327" s="10" t="s">
        <v>646</v>
      </c>
      <c r="R327" s="10" t="s">
        <v>119</v>
      </c>
      <c r="S327" s="10" t="s">
        <v>130</v>
      </c>
      <c r="T327" s="10" t="s">
        <v>120</v>
      </c>
      <c r="U327" s="10" t="s">
        <v>101</v>
      </c>
      <c r="V327" s="10" t="s">
        <v>121</v>
      </c>
      <c r="W327" s="10" t="s">
        <v>122</v>
      </c>
      <c r="X327" s="10" t="s">
        <v>123</v>
      </c>
      <c r="Y327" s="29">
        <v>1</v>
      </c>
      <c r="Z327" s="138" t="s">
        <v>674</v>
      </c>
      <c r="AA327" s="138">
        <v>42947</v>
      </c>
      <c r="AB327" s="9" t="s">
        <v>114</v>
      </c>
      <c r="AC327" s="9" t="s">
        <v>124</v>
      </c>
      <c r="AD327" s="15">
        <v>44651</v>
      </c>
      <c r="AE327" s="39" t="s">
        <v>125</v>
      </c>
      <c r="AF327" s="177">
        <v>6</v>
      </c>
      <c r="AG327" s="140">
        <v>0</v>
      </c>
      <c r="AH327" s="9">
        <v>0</v>
      </c>
      <c r="AI327" s="10" t="s">
        <v>126</v>
      </c>
      <c r="AJ327" s="10"/>
      <c r="AK327" s="29"/>
      <c r="AL327" s="12">
        <v>8.2191780821918137E-2</v>
      </c>
      <c r="AM327" s="10"/>
      <c r="AN327" s="12">
        <f>FAR[[#This Row],[Opening RUL]]+FAR[[#This Row],[RUL Adjustment]]</f>
        <v>8.2191780821918137E-2</v>
      </c>
      <c r="AO327" s="12">
        <f>FAR[[#This Row],[Opening RUL 30 June 2026]]-1</f>
        <v>-0.91780821917808186</v>
      </c>
      <c r="AP327" s="12" t="s">
        <v>1050</v>
      </c>
      <c r="AQ327" s="139"/>
      <c r="AR327" s="10" t="s">
        <v>127</v>
      </c>
      <c r="AS327" s="13">
        <v>12582.94</v>
      </c>
      <c r="AT327" s="13"/>
      <c r="AU327" s="13">
        <v>0</v>
      </c>
      <c r="AV327" s="13">
        <v>0</v>
      </c>
      <c r="AW327" s="13">
        <v>0</v>
      </c>
      <c r="AX327" s="13">
        <v>12582.94</v>
      </c>
      <c r="AY327" s="13">
        <v>4.3569754155123519</v>
      </c>
      <c r="AZ327" s="13">
        <v>0</v>
      </c>
      <c r="BA327" s="13"/>
      <c r="BB327" s="13"/>
      <c r="BC327" s="13">
        <v>-12578.583024584488</v>
      </c>
      <c r="BD327" s="13"/>
      <c r="BE327" s="13" t="s">
        <v>114</v>
      </c>
      <c r="BF327" s="29"/>
      <c r="BG327" s="13"/>
      <c r="BH327" s="13">
        <f>-FAR[[#This Row],[Carrying value (opening balance)]]/FAR[[#This Row],[Opening RUL 30 June 2026]]</f>
        <v>-53.009867555400071</v>
      </c>
      <c r="BI327" s="13">
        <f>FAR[[#This Row],[Depreciation YTD]]/12</f>
        <v>-4.4174889629500056</v>
      </c>
      <c r="BJ327" s="13"/>
      <c r="BK327" s="13" t="s">
        <v>116</v>
      </c>
      <c r="BL327" s="13">
        <v>0</v>
      </c>
      <c r="BM327" s="13">
        <f>FAR[[#This Row],[Accumulated depreciation (Opening balance)]]+FAR[[#This Row],[Depreciation YTD]]+FAR[[#This Row],[Derecognitions (acc dep) '[+']]]</f>
        <v>-12631.592892139888</v>
      </c>
      <c r="BN327" s="13"/>
      <c r="BO327" s="13"/>
      <c r="BP327" s="13"/>
      <c r="BQ327" s="13"/>
      <c r="BR32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27" s="13">
        <f>FAR[[#This Row],[Cost Price (closing balance)]]+FAR[[#This Row],[Accumulated depreciation (Closing balance)]]+FAR[[#This Row],[Accumulated impairments (Closing balance)]]</f>
        <v>-48.652892139887626</v>
      </c>
      <c r="BT327" s="13"/>
      <c r="BU327" s="13"/>
      <c r="BV327" s="13"/>
      <c r="BW327" s="10" t="s">
        <v>167</v>
      </c>
      <c r="BX327" s="9" t="s">
        <v>168</v>
      </c>
      <c r="BY327" s="10"/>
      <c r="BZ327" t="s">
        <v>940</v>
      </c>
      <c r="CA327"/>
      <c r="CB327" s="34"/>
      <c r="CC327" s="34"/>
      <c r="CD327" s="34"/>
      <c r="CE327" s="141"/>
    </row>
    <row r="328" spans="1:83">
      <c r="A328" s="35">
        <v>1068</v>
      </c>
      <c r="B328" s="9" t="s">
        <v>919</v>
      </c>
      <c r="C328" s="9" t="s">
        <v>54</v>
      </c>
      <c r="D328" s="10" t="s">
        <v>1</v>
      </c>
      <c r="E328" s="9" t="s">
        <v>115</v>
      </c>
      <c r="F328" s="36" t="s">
        <v>99</v>
      </c>
      <c r="G328" s="9" t="s">
        <v>100</v>
      </c>
      <c r="H328" s="3" t="s">
        <v>623</v>
      </c>
      <c r="I328" s="9" t="s">
        <v>100</v>
      </c>
      <c r="J328" s="36" t="s">
        <v>101</v>
      </c>
      <c r="K328" s="10" t="s">
        <v>559</v>
      </c>
      <c r="L328" s="10" t="s">
        <v>559</v>
      </c>
      <c r="M328" s="9" t="s">
        <v>100</v>
      </c>
      <c r="N328" s="10" t="s">
        <v>647</v>
      </c>
      <c r="O328" s="9" t="s">
        <v>100</v>
      </c>
      <c r="P328" s="10"/>
      <c r="Q328" s="10" t="s">
        <v>647</v>
      </c>
      <c r="R328" s="10" t="s">
        <v>119</v>
      </c>
      <c r="S328" s="10" t="s">
        <v>130</v>
      </c>
      <c r="T328" s="10" t="s">
        <v>120</v>
      </c>
      <c r="U328" s="10" t="s">
        <v>101</v>
      </c>
      <c r="V328" s="10" t="s">
        <v>121</v>
      </c>
      <c r="W328" s="10" t="s">
        <v>122</v>
      </c>
      <c r="X328" s="10" t="s">
        <v>123</v>
      </c>
      <c r="Y328" s="29">
        <v>1</v>
      </c>
      <c r="Z328" s="138" t="s">
        <v>674</v>
      </c>
      <c r="AA328" s="138">
        <v>42947</v>
      </c>
      <c r="AB328" s="9" t="s">
        <v>114</v>
      </c>
      <c r="AC328" s="9" t="s">
        <v>124</v>
      </c>
      <c r="AD328" s="15">
        <v>44651</v>
      </c>
      <c r="AE328" s="39" t="s">
        <v>125</v>
      </c>
      <c r="AF328" s="177">
        <v>6</v>
      </c>
      <c r="AG328" s="140">
        <v>0</v>
      </c>
      <c r="AH328" s="9">
        <v>0</v>
      </c>
      <c r="AI328" s="10" t="s">
        <v>126</v>
      </c>
      <c r="AJ328" s="10"/>
      <c r="AK328" s="29"/>
      <c r="AL328" s="12">
        <v>8.2191780821918137E-2</v>
      </c>
      <c r="AM328" s="10"/>
      <c r="AN328" s="12">
        <f>FAR[[#This Row],[Opening RUL]]+FAR[[#This Row],[RUL Adjustment]]</f>
        <v>8.2191780821918137E-2</v>
      </c>
      <c r="AO328" s="12">
        <f>FAR[[#This Row],[Opening RUL 30 June 2026]]-1</f>
        <v>-0.91780821917808186</v>
      </c>
      <c r="AP328" s="12" t="s">
        <v>1050</v>
      </c>
      <c r="AQ328" s="139"/>
      <c r="AR328" s="10" t="s">
        <v>127</v>
      </c>
      <c r="AS328" s="13">
        <v>12582.94</v>
      </c>
      <c r="AT328" s="13"/>
      <c r="AU328" s="13">
        <v>0</v>
      </c>
      <c r="AV328" s="13">
        <v>0</v>
      </c>
      <c r="AW328" s="13">
        <v>0</v>
      </c>
      <c r="AX328" s="13">
        <v>12582.94</v>
      </c>
      <c r="AY328" s="13">
        <v>4.3569754155123519</v>
      </c>
      <c r="AZ328" s="13">
        <v>0</v>
      </c>
      <c r="BA328" s="13"/>
      <c r="BB328" s="13"/>
      <c r="BC328" s="13">
        <v>-12578.583024584488</v>
      </c>
      <c r="BD328" s="13"/>
      <c r="BE328" s="13" t="s">
        <v>114</v>
      </c>
      <c r="BF328" s="29"/>
      <c r="BG328" s="13"/>
      <c r="BH328" s="13">
        <f>-FAR[[#This Row],[Carrying value (opening balance)]]/FAR[[#This Row],[Opening RUL 30 June 2026]]</f>
        <v>-53.009867555400071</v>
      </c>
      <c r="BI328" s="13">
        <f>FAR[[#This Row],[Depreciation YTD]]/12</f>
        <v>-4.4174889629500056</v>
      </c>
      <c r="BJ328" s="13"/>
      <c r="BK328" s="13" t="s">
        <v>116</v>
      </c>
      <c r="BL328" s="13">
        <v>0</v>
      </c>
      <c r="BM328" s="13">
        <f>FAR[[#This Row],[Accumulated depreciation (Opening balance)]]+FAR[[#This Row],[Depreciation YTD]]+FAR[[#This Row],[Derecognitions (acc dep) '[+']]]</f>
        <v>-12631.592892139888</v>
      </c>
      <c r="BN328" s="13"/>
      <c r="BO328" s="13"/>
      <c r="BP328" s="13"/>
      <c r="BQ328" s="13"/>
      <c r="BR32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28" s="13">
        <f>FAR[[#This Row],[Cost Price (closing balance)]]+FAR[[#This Row],[Accumulated depreciation (Closing balance)]]+FAR[[#This Row],[Accumulated impairments (Closing balance)]]</f>
        <v>-48.652892139887626</v>
      </c>
      <c r="BT328" s="13"/>
      <c r="BU328" s="13"/>
      <c r="BV328" s="13"/>
      <c r="BW328" s="10" t="s">
        <v>167</v>
      </c>
      <c r="BX328" s="9" t="s">
        <v>168</v>
      </c>
      <c r="BY328" s="10"/>
      <c r="BZ328" t="s">
        <v>940</v>
      </c>
      <c r="CA328"/>
      <c r="CB328" s="34"/>
      <c r="CC328" s="34"/>
      <c r="CD328" s="34"/>
      <c r="CE328" s="141"/>
    </row>
    <row r="329" spans="1:83">
      <c r="A329" s="35">
        <v>1069</v>
      </c>
      <c r="B329" s="9" t="s">
        <v>918</v>
      </c>
      <c r="C329" s="9" t="s">
        <v>54</v>
      </c>
      <c r="D329" s="10" t="s">
        <v>1</v>
      </c>
      <c r="E329" s="9" t="s">
        <v>115</v>
      </c>
      <c r="F329" s="36" t="s">
        <v>99</v>
      </c>
      <c r="G329" s="9" t="s">
        <v>100</v>
      </c>
      <c r="H329" s="3" t="s">
        <v>623</v>
      </c>
      <c r="I329" s="9" t="s">
        <v>100</v>
      </c>
      <c r="J329" s="36" t="s">
        <v>101</v>
      </c>
      <c r="K329" s="10" t="s">
        <v>559</v>
      </c>
      <c r="L329" s="10" t="s">
        <v>559</v>
      </c>
      <c r="M329" s="9" t="s">
        <v>100</v>
      </c>
      <c r="N329" s="10" t="s">
        <v>648</v>
      </c>
      <c r="O329" s="9" t="s">
        <v>100</v>
      </c>
      <c r="P329" s="10"/>
      <c r="Q329" s="10" t="s">
        <v>648</v>
      </c>
      <c r="R329" s="10" t="s">
        <v>119</v>
      </c>
      <c r="S329" s="10" t="s">
        <v>130</v>
      </c>
      <c r="T329" s="10" t="s">
        <v>120</v>
      </c>
      <c r="U329" s="10" t="s">
        <v>101</v>
      </c>
      <c r="V329" s="10" t="s">
        <v>121</v>
      </c>
      <c r="W329" s="10" t="s">
        <v>122</v>
      </c>
      <c r="X329" s="10" t="s">
        <v>123</v>
      </c>
      <c r="Y329" s="29">
        <v>1</v>
      </c>
      <c r="Z329" s="138" t="s">
        <v>674</v>
      </c>
      <c r="AA329" s="138">
        <v>42947</v>
      </c>
      <c r="AB329" s="9" t="s">
        <v>114</v>
      </c>
      <c r="AC329" s="9" t="s">
        <v>124</v>
      </c>
      <c r="AD329" s="15">
        <v>44651</v>
      </c>
      <c r="AE329" s="39" t="s">
        <v>125</v>
      </c>
      <c r="AF329" s="177">
        <v>6</v>
      </c>
      <c r="AG329" s="140">
        <v>0</v>
      </c>
      <c r="AH329" s="9">
        <v>0</v>
      </c>
      <c r="AI329" s="10" t="s">
        <v>126</v>
      </c>
      <c r="AJ329" s="10"/>
      <c r="AK329" s="29"/>
      <c r="AL329" s="12">
        <v>8.2191780821918137E-2</v>
      </c>
      <c r="AM329" s="10"/>
      <c r="AN329" s="12">
        <f>FAR[[#This Row],[Opening RUL]]+FAR[[#This Row],[RUL Adjustment]]</f>
        <v>8.2191780821918137E-2</v>
      </c>
      <c r="AO329" s="12">
        <f>FAR[[#This Row],[Opening RUL 30 June 2026]]-1</f>
        <v>-0.91780821917808186</v>
      </c>
      <c r="AP329" s="12" t="s">
        <v>1050</v>
      </c>
      <c r="AQ329" s="139"/>
      <c r="AR329" s="10" t="s">
        <v>127</v>
      </c>
      <c r="AS329" s="13">
        <v>12582.94</v>
      </c>
      <c r="AT329" s="13"/>
      <c r="AU329" s="13">
        <v>0</v>
      </c>
      <c r="AV329" s="13">
        <v>0</v>
      </c>
      <c r="AW329" s="13">
        <v>0</v>
      </c>
      <c r="AX329" s="13">
        <v>12582.94</v>
      </c>
      <c r="AY329" s="13">
        <v>4.3569754155123519</v>
      </c>
      <c r="AZ329" s="13">
        <v>0</v>
      </c>
      <c r="BA329" s="13"/>
      <c r="BB329" s="13"/>
      <c r="BC329" s="13">
        <v>-12578.583024584488</v>
      </c>
      <c r="BD329" s="13"/>
      <c r="BE329" s="13" t="s">
        <v>114</v>
      </c>
      <c r="BF329" s="29"/>
      <c r="BG329" s="13"/>
      <c r="BH329" s="13">
        <f>-FAR[[#This Row],[Carrying value (opening balance)]]/FAR[[#This Row],[Opening RUL 30 June 2026]]</f>
        <v>-53.009867555400071</v>
      </c>
      <c r="BI329" s="13">
        <f>FAR[[#This Row],[Depreciation YTD]]/12</f>
        <v>-4.4174889629500056</v>
      </c>
      <c r="BJ329" s="13"/>
      <c r="BK329" s="13" t="s">
        <v>116</v>
      </c>
      <c r="BL329" s="13">
        <v>0</v>
      </c>
      <c r="BM329" s="13">
        <f>FAR[[#This Row],[Accumulated depreciation (Opening balance)]]+FAR[[#This Row],[Depreciation YTD]]+FAR[[#This Row],[Derecognitions (acc dep) '[+']]]</f>
        <v>-12631.592892139888</v>
      </c>
      <c r="BN329" s="13"/>
      <c r="BO329" s="13"/>
      <c r="BP329" s="13"/>
      <c r="BQ329" s="13"/>
      <c r="BR32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29" s="13">
        <f>FAR[[#This Row],[Cost Price (closing balance)]]+FAR[[#This Row],[Accumulated depreciation (Closing balance)]]+FAR[[#This Row],[Accumulated impairments (Closing balance)]]</f>
        <v>-48.652892139887626</v>
      </c>
      <c r="BT329" s="13"/>
      <c r="BU329" s="13"/>
      <c r="BV329" s="13"/>
      <c r="BW329" s="10" t="s">
        <v>167</v>
      </c>
      <c r="BX329" s="9" t="s">
        <v>168</v>
      </c>
      <c r="BY329" s="10"/>
      <c r="BZ329" t="s">
        <v>1023</v>
      </c>
      <c r="CA329"/>
      <c r="CB329" s="34"/>
      <c r="CC329" s="34"/>
      <c r="CD329" s="34"/>
      <c r="CE329" s="141"/>
    </row>
    <row r="330" spans="1:83">
      <c r="A330" s="35">
        <v>1075</v>
      </c>
      <c r="B330" s="9">
        <v>0</v>
      </c>
      <c r="C330" s="9" t="s">
        <v>54</v>
      </c>
      <c r="D330" s="10" t="s">
        <v>1</v>
      </c>
      <c r="E330" s="9" t="s">
        <v>115</v>
      </c>
      <c r="F330" s="36" t="s">
        <v>99</v>
      </c>
      <c r="G330" s="9" t="s">
        <v>100</v>
      </c>
      <c r="H330" s="3" t="s">
        <v>623</v>
      </c>
      <c r="I330" s="9" t="s">
        <v>100</v>
      </c>
      <c r="J330" s="36" t="s">
        <v>101</v>
      </c>
      <c r="K330" s="10" t="s">
        <v>559</v>
      </c>
      <c r="L330" s="10" t="s">
        <v>559</v>
      </c>
      <c r="M330" s="9" t="s">
        <v>100</v>
      </c>
      <c r="N330" s="10" t="s">
        <v>649</v>
      </c>
      <c r="O330" s="9" t="s">
        <v>100</v>
      </c>
      <c r="P330" s="10"/>
      <c r="Q330" s="10" t="s">
        <v>649</v>
      </c>
      <c r="R330" s="10" t="s">
        <v>119</v>
      </c>
      <c r="S330" s="10" t="s">
        <v>130</v>
      </c>
      <c r="T330" s="10" t="s">
        <v>120</v>
      </c>
      <c r="U330" s="10" t="s">
        <v>101</v>
      </c>
      <c r="V330" s="10" t="s">
        <v>121</v>
      </c>
      <c r="W330" s="10" t="s">
        <v>122</v>
      </c>
      <c r="X330" s="10" t="s">
        <v>123</v>
      </c>
      <c r="Y330" s="29">
        <v>1</v>
      </c>
      <c r="Z330" s="138" t="s">
        <v>675</v>
      </c>
      <c r="AA330" s="138">
        <v>43047</v>
      </c>
      <c r="AB330" s="9" t="s">
        <v>114</v>
      </c>
      <c r="AC330" s="9" t="s">
        <v>124</v>
      </c>
      <c r="AD330" s="15">
        <v>44651</v>
      </c>
      <c r="AE330" s="39" t="s">
        <v>125</v>
      </c>
      <c r="AF330" s="177">
        <v>6</v>
      </c>
      <c r="AG330" s="140">
        <v>0</v>
      </c>
      <c r="AH330" s="9">
        <v>0</v>
      </c>
      <c r="AI330" s="10" t="s">
        <v>126</v>
      </c>
      <c r="AJ330" s="10"/>
      <c r="AK330" s="29"/>
      <c r="AL330" s="12">
        <v>0.35616438356164348</v>
      </c>
      <c r="AM330" s="10"/>
      <c r="AN330" s="12">
        <f>FAR[[#This Row],[Opening RUL]]+FAR[[#This Row],[RUL Adjustment]]</f>
        <v>0.35616438356164348</v>
      </c>
      <c r="AO330" s="12">
        <f>FAR[[#This Row],[Opening RUL 30 June 2026]]-1</f>
        <v>-0.64383561643835652</v>
      </c>
      <c r="AP330" s="12">
        <v>0</v>
      </c>
      <c r="AQ330" s="139"/>
      <c r="AR330" s="10" t="s">
        <v>127</v>
      </c>
      <c r="AS330" s="13">
        <v>4930.8999999999996</v>
      </c>
      <c r="AT330" s="13"/>
      <c r="AU330" s="13">
        <v>0</v>
      </c>
      <c r="AV330" s="13">
        <v>0</v>
      </c>
      <c r="AW330" s="13">
        <v>0</v>
      </c>
      <c r="AX330" s="13">
        <v>4930.8999999999996</v>
      </c>
      <c r="AY330" s="13">
        <v>29.732894808003948</v>
      </c>
      <c r="AZ330" s="13">
        <v>0</v>
      </c>
      <c r="BA330" s="13"/>
      <c r="BB330" s="13"/>
      <c r="BC330" s="13">
        <v>-4901.1671051919957</v>
      </c>
      <c r="BD330" s="13"/>
      <c r="BE330" s="13" t="s">
        <v>114</v>
      </c>
      <c r="BF330" s="29"/>
      <c r="BG330" s="13"/>
      <c r="BH330" s="13">
        <f>-FAR[[#This Row],[Carrying value (opening balance)]]/FAR[[#This Row],[Opening RUL 30 June 2026]]</f>
        <v>-83.480820037857328</v>
      </c>
      <c r="BI330" s="13">
        <f>FAR[[#This Row],[Depreciation YTD]]/12</f>
        <v>-6.956735003154777</v>
      </c>
      <c r="BJ330" s="13"/>
      <c r="BK330" s="13" t="s">
        <v>116</v>
      </c>
      <c r="BL330" s="13">
        <v>0</v>
      </c>
      <c r="BM330" s="13">
        <f>FAR[[#This Row],[Accumulated depreciation (Opening balance)]]+FAR[[#This Row],[Depreciation YTD]]+FAR[[#This Row],[Derecognitions (acc dep) '[+']]]</f>
        <v>-4984.6479252298532</v>
      </c>
      <c r="BN330" s="13"/>
      <c r="BO330" s="13"/>
      <c r="BP330" s="13"/>
      <c r="BQ330" s="13"/>
      <c r="BR33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30" s="13">
        <f>FAR[[#This Row],[Cost Price (closing balance)]]+FAR[[#This Row],[Accumulated depreciation (Closing balance)]]+FAR[[#This Row],[Accumulated impairments (Closing balance)]]</f>
        <v>-53.747925229853536</v>
      </c>
      <c r="BT330" s="13"/>
      <c r="BU330" s="13"/>
      <c r="BV330" s="13"/>
      <c r="BW330" s="10" t="s">
        <v>167</v>
      </c>
      <c r="BX330" s="9" t="s">
        <v>168</v>
      </c>
      <c r="BY330" s="10"/>
      <c r="BZ330">
        <v>0</v>
      </c>
      <c r="CA330"/>
      <c r="CB330" s="34"/>
      <c r="CC330" s="34"/>
      <c r="CD330" s="34"/>
      <c r="CE330" s="141"/>
    </row>
    <row r="331" spans="1:83">
      <c r="A331" s="35">
        <v>1096</v>
      </c>
      <c r="B331" s="9" t="s">
        <v>868</v>
      </c>
      <c r="C331" s="9" t="s">
        <v>54</v>
      </c>
      <c r="D331" s="10" t="s">
        <v>1</v>
      </c>
      <c r="E331" s="9" t="s">
        <v>115</v>
      </c>
      <c r="F331" s="36" t="s">
        <v>99</v>
      </c>
      <c r="G331" s="9" t="s">
        <v>100</v>
      </c>
      <c r="H331" s="3" t="s">
        <v>623</v>
      </c>
      <c r="I331" s="9" t="s">
        <v>100</v>
      </c>
      <c r="J331" s="36" t="s">
        <v>101</v>
      </c>
      <c r="K331" s="10" t="s">
        <v>559</v>
      </c>
      <c r="L331" s="10" t="s">
        <v>559</v>
      </c>
      <c r="M331" s="9" t="s">
        <v>100</v>
      </c>
      <c r="N331" s="10" t="s">
        <v>650</v>
      </c>
      <c r="O331" s="9" t="s">
        <v>100</v>
      </c>
      <c r="P331" s="10"/>
      <c r="Q331" s="10" t="s">
        <v>650</v>
      </c>
      <c r="R331" s="10" t="s">
        <v>119</v>
      </c>
      <c r="S331" s="10" t="s">
        <v>130</v>
      </c>
      <c r="T331" s="10" t="s">
        <v>120</v>
      </c>
      <c r="U331" s="10" t="s">
        <v>101</v>
      </c>
      <c r="V331" s="10" t="s">
        <v>121</v>
      </c>
      <c r="W331" s="10" t="s">
        <v>122</v>
      </c>
      <c r="X331" s="10" t="s">
        <v>123</v>
      </c>
      <c r="Y331" s="29">
        <v>1</v>
      </c>
      <c r="Z331" s="138" t="s">
        <v>676</v>
      </c>
      <c r="AA331" s="138">
        <v>43024</v>
      </c>
      <c r="AB331" s="9" t="s">
        <v>114</v>
      </c>
      <c r="AC331" s="9" t="s">
        <v>124</v>
      </c>
      <c r="AD331" s="15">
        <v>44651</v>
      </c>
      <c r="AE331" s="39" t="s">
        <v>125</v>
      </c>
      <c r="AF331" s="177">
        <v>6</v>
      </c>
      <c r="AG331" s="140">
        <v>0</v>
      </c>
      <c r="AH331" s="9">
        <v>0</v>
      </c>
      <c r="AI331" s="10" t="s">
        <v>126</v>
      </c>
      <c r="AJ331" s="10"/>
      <c r="AK331" s="29"/>
      <c r="AL331" s="12">
        <v>0.29315068493150687</v>
      </c>
      <c r="AM331" s="10"/>
      <c r="AN331" s="12">
        <f>FAR[[#This Row],[Opening RUL]]+FAR[[#This Row],[RUL Adjustment]]</f>
        <v>0.29315068493150687</v>
      </c>
      <c r="AO331" s="12">
        <f>FAR[[#This Row],[Opening RUL 30 June 2026]]-1</f>
        <v>-0.70684931506849313</v>
      </c>
      <c r="AP331" s="12" t="s">
        <v>1050</v>
      </c>
      <c r="AQ331" s="139"/>
      <c r="AR331" s="10" t="s">
        <v>127</v>
      </c>
      <c r="AS331" s="13">
        <v>5586</v>
      </c>
      <c r="AT331" s="13"/>
      <c r="AU331" s="13">
        <v>0</v>
      </c>
      <c r="AV331" s="13">
        <v>0</v>
      </c>
      <c r="AW331" s="13">
        <v>0</v>
      </c>
      <c r="AX331" s="13">
        <v>5586</v>
      </c>
      <c r="AY331" s="13">
        <v>22.822203808618724</v>
      </c>
      <c r="AZ331" s="13">
        <v>0</v>
      </c>
      <c r="BA331" s="13"/>
      <c r="BB331" s="13"/>
      <c r="BC331" s="13">
        <v>-5563.1777961913813</v>
      </c>
      <c r="BD331" s="13"/>
      <c r="BE331" s="13" t="s">
        <v>114</v>
      </c>
      <c r="BF331" s="29"/>
      <c r="BG331" s="13"/>
      <c r="BH331" s="13">
        <f>-FAR[[#This Row],[Carrying value (opening balance)]]/FAR[[#This Row],[Opening RUL 30 June 2026]]</f>
        <v>-77.851442898559199</v>
      </c>
      <c r="BI331" s="13">
        <f>FAR[[#This Row],[Depreciation YTD]]/12</f>
        <v>-6.4876202415466002</v>
      </c>
      <c r="BJ331" s="13"/>
      <c r="BK331" s="13" t="s">
        <v>116</v>
      </c>
      <c r="BL331" s="13">
        <v>0</v>
      </c>
      <c r="BM331" s="13">
        <f>FAR[[#This Row],[Accumulated depreciation (Opening balance)]]+FAR[[#This Row],[Depreciation YTD]]+FAR[[#This Row],[Derecognitions (acc dep) '[+']]]</f>
        <v>-5641.0292390899403</v>
      </c>
      <c r="BN331" s="13"/>
      <c r="BO331" s="13"/>
      <c r="BP331" s="13"/>
      <c r="BQ331" s="13"/>
      <c r="BR33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31" s="13">
        <f>FAR[[#This Row],[Cost Price (closing balance)]]+FAR[[#This Row],[Accumulated depreciation (Closing balance)]]+FAR[[#This Row],[Accumulated impairments (Closing balance)]]</f>
        <v>-55.029239089940347</v>
      </c>
      <c r="BT331" s="13"/>
      <c r="BU331" s="13"/>
      <c r="BV331" s="13"/>
      <c r="BW331" s="10" t="s">
        <v>167</v>
      </c>
      <c r="BX331" s="9" t="s">
        <v>168</v>
      </c>
      <c r="BY331" s="10"/>
      <c r="BZ331" t="s">
        <v>1011</v>
      </c>
      <c r="CA331"/>
      <c r="CB331" s="34"/>
      <c r="CC331" s="34"/>
      <c r="CD331" s="34"/>
      <c r="CE331" s="141"/>
    </row>
    <row r="332" spans="1:83">
      <c r="A332" s="35">
        <v>1239</v>
      </c>
      <c r="B332" s="9">
        <v>0</v>
      </c>
      <c r="C332" s="9" t="s">
        <v>54</v>
      </c>
      <c r="D332" s="10" t="s">
        <v>1</v>
      </c>
      <c r="E332" s="9" t="s">
        <v>115</v>
      </c>
      <c r="F332" s="36" t="s">
        <v>99</v>
      </c>
      <c r="G332" s="9" t="s">
        <v>100</v>
      </c>
      <c r="H332" s="3" t="s">
        <v>623</v>
      </c>
      <c r="I332" s="9" t="s">
        <v>100</v>
      </c>
      <c r="J332" s="36" t="s">
        <v>101</v>
      </c>
      <c r="K332" s="10" t="s">
        <v>559</v>
      </c>
      <c r="L332" s="10" t="s">
        <v>559</v>
      </c>
      <c r="M332" s="9" t="s">
        <v>100</v>
      </c>
      <c r="N332" s="10" t="s">
        <v>651</v>
      </c>
      <c r="O332" s="9" t="s">
        <v>100</v>
      </c>
      <c r="P332" s="10"/>
      <c r="Q332" s="10" t="s">
        <v>651</v>
      </c>
      <c r="R332" s="10" t="s">
        <v>119</v>
      </c>
      <c r="S332" s="10" t="s">
        <v>130</v>
      </c>
      <c r="T332" s="10" t="s">
        <v>120</v>
      </c>
      <c r="U332" s="10" t="s">
        <v>101</v>
      </c>
      <c r="V332" s="10" t="s">
        <v>121</v>
      </c>
      <c r="W332" s="10" t="s">
        <v>122</v>
      </c>
      <c r="X332" s="10" t="s">
        <v>123</v>
      </c>
      <c r="Y332" s="29">
        <v>1</v>
      </c>
      <c r="Z332" s="138" t="s">
        <v>677</v>
      </c>
      <c r="AA332" s="138">
        <v>43255</v>
      </c>
      <c r="AB332" s="9" t="s">
        <v>114</v>
      </c>
      <c r="AC332" s="9" t="s">
        <v>124</v>
      </c>
      <c r="AD332" s="15">
        <v>44651</v>
      </c>
      <c r="AE332" s="39" t="s">
        <v>125</v>
      </c>
      <c r="AF332" s="177">
        <v>6</v>
      </c>
      <c r="AG332" s="140">
        <v>0</v>
      </c>
      <c r="AH332" s="9">
        <v>0</v>
      </c>
      <c r="AI332" s="10" t="s">
        <v>126</v>
      </c>
      <c r="AJ332" s="10"/>
      <c r="AK332" s="29"/>
      <c r="AL332" s="12">
        <v>0.92602739726027394</v>
      </c>
      <c r="AM332" s="10"/>
      <c r="AN332" s="12">
        <f>FAR[[#This Row],[Opening RUL]]+FAR[[#This Row],[RUL Adjustment]]</f>
        <v>0.92602739726027394</v>
      </c>
      <c r="AO332" s="12">
        <f>FAR[[#This Row],[Opening RUL 30 June 2026]]-1</f>
        <v>-7.3972602739726057E-2</v>
      </c>
      <c r="AP332" s="12">
        <v>0</v>
      </c>
      <c r="AQ332" s="139"/>
      <c r="AR332" s="10" t="s">
        <v>127</v>
      </c>
      <c r="AS332" s="13">
        <v>499</v>
      </c>
      <c r="AT332" s="13"/>
      <c r="AU332" s="13">
        <v>0</v>
      </c>
      <c r="AV332" s="13">
        <v>0</v>
      </c>
      <c r="AW332" s="13">
        <v>0</v>
      </c>
      <c r="AX332" s="13">
        <v>499</v>
      </c>
      <c r="AY332" s="13">
        <v>18.047688247836277</v>
      </c>
      <c r="AZ332" s="13">
        <v>0</v>
      </c>
      <c r="BA332" s="13"/>
      <c r="BB332" s="13"/>
      <c r="BC332" s="13">
        <v>-480.95231175216372</v>
      </c>
      <c r="BD332" s="13"/>
      <c r="BE332" s="13" t="s">
        <v>114</v>
      </c>
      <c r="BF332" s="29"/>
      <c r="BG332" s="13"/>
      <c r="BH332" s="13">
        <f>-FAR[[#This Row],[Carrying value (opening balance)]]/FAR[[#This Row],[Opening RUL 30 June 2026]]</f>
        <v>-19.48936748656876</v>
      </c>
      <c r="BI332" s="13">
        <f>FAR[[#This Row],[Depreciation YTD]]/12</f>
        <v>-1.6241139572140633</v>
      </c>
      <c r="BJ332" s="13"/>
      <c r="BK332" s="13" t="s">
        <v>116</v>
      </c>
      <c r="BL332" s="13">
        <v>0</v>
      </c>
      <c r="BM332" s="13">
        <f>FAR[[#This Row],[Accumulated depreciation (Opening balance)]]+FAR[[#This Row],[Depreciation YTD]]+FAR[[#This Row],[Derecognitions (acc dep) '[+']]]</f>
        <v>-500.44167923873249</v>
      </c>
      <c r="BN332" s="13"/>
      <c r="BO332" s="13"/>
      <c r="BP332" s="13"/>
      <c r="BQ332" s="13"/>
      <c r="BR33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32" s="13">
        <f>FAR[[#This Row],[Cost Price (closing balance)]]+FAR[[#This Row],[Accumulated depreciation (Closing balance)]]+FAR[[#This Row],[Accumulated impairments (Closing balance)]]</f>
        <v>-1.4416792387324904</v>
      </c>
      <c r="BT332" s="13"/>
      <c r="BU332" s="13"/>
      <c r="BV332" s="13"/>
      <c r="BW332" s="10" t="s">
        <v>167</v>
      </c>
      <c r="BX332" s="9" t="s">
        <v>168</v>
      </c>
      <c r="BY332" s="10"/>
      <c r="BZ332">
        <v>0</v>
      </c>
      <c r="CA332"/>
      <c r="CB332" s="34"/>
      <c r="CC332" s="34"/>
      <c r="CD332" s="34"/>
      <c r="CE332" s="141"/>
    </row>
    <row r="333" spans="1:83">
      <c r="A333" s="35">
        <v>1271</v>
      </c>
      <c r="B333" s="9">
        <v>0</v>
      </c>
      <c r="C333" s="9" t="s">
        <v>54</v>
      </c>
      <c r="D333" s="10" t="s">
        <v>1</v>
      </c>
      <c r="E333" s="9" t="s">
        <v>115</v>
      </c>
      <c r="F333" s="36" t="s">
        <v>99</v>
      </c>
      <c r="G333" s="9" t="s">
        <v>100</v>
      </c>
      <c r="H333" s="3" t="s">
        <v>623</v>
      </c>
      <c r="I333" s="9" t="s">
        <v>100</v>
      </c>
      <c r="J333" s="36" t="s">
        <v>101</v>
      </c>
      <c r="K333" s="10" t="s">
        <v>559</v>
      </c>
      <c r="L333" s="10" t="s">
        <v>559</v>
      </c>
      <c r="M333" s="9" t="s">
        <v>100</v>
      </c>
      <c r="N333" s="10" t="s">
        <v>652</v>
      </c>
      <c r="O333" s="9" t="s">
        <v>100</v>
      </c>
      <c r="P333" s="10"/>
      <c r="Q333" s="10" t="s">
        <v>652</v>
      </c>
      <c r="R333" s="10" t="s">
        <v>119</v>
      </c>
      <c r="S333" s="10" t="s">
        <v>130</v>
      </c>
      <c r="T333" s="10" t="s">
        <v>120</v>
      </c>
      <c r="U333" s="10" t="s">
        <v>101</v>
      </c>
      <c r="V333" s="10" t="s">
        <v>121</v>
      </c>
      <c r="W333" s="10" t="s">
        <v>122</v>
      </c>
      <c r="X333" s="10" t="s">
        <v>123</v>
      </c>
      <c r="Y333" s="29">
        <v>1</v>
      </c>
      <c r="Z333" s="138" t="s">
        <v>678</v>
      </c>
      <c r="AA333" s="138">
        <v>43263</v>
      </c>
      <c r="AB333" s="9" t="s">
        <v>114</v>
      </c>
      <c r="AC333" s="9" t="s">
        <v>124</v>
      </c>
      <c r="AD333" s="15">
        <v>44651</v>
      </c>
      <c r="AE333" s="39" t="s">
        <v>125</v>
      </c>
      <c r="AF333" s="177">
        <v>6</v>
      </c>
      <c r="AG333" s="140">
        <v>0</v>
      </c>
      <c r="AH333" s="9">
        <v>0</v>
      </c>
      <c r="AI333" s="10" t="s">
        <v>126</v>
      </c>
      <c r="AJ333" s="10"/>
      <c r="AK333" s="29"/>
      <c r="AL333" s="12">
        <v>0.94794520547945194</v>
      </c>
      <c r="AM333" s="10"/>
      <c r="AN333" s="12">
        <f>FAR[[#This Row],[Opening RUL]]+FAR[[#This Row],[RUL Adjustment]]</f>
        <v>0.94794520547945194</v>
      </c>
      <c r="AO333" s="12">
        <f>FAR[[#This Row],[Opening RUL 30 June 2026]]-1</f>
        <v>-5.2054794520548064E-2</v>
      </c>
      <c r="AP333" s="12">
        <v>0</v>
      </c>
      <c r="AQ333" s="139"/>
      <c r="AR333" s="10" t="s">
        <v>127</v>
      </c>
      <c r="AS333" s="13">
        <v>349</v>
      </c>
      <c r="AT333" s="13"/>
      <c r="AU333" s="13">
        <v>0</v>
      </c>
      <c r="AV333" s="13">
        <v>0</v>
      </c>
      <c r="AW333" s="13">
        <v>0</v>
      </c>
      <c r="AX333" s="13">
        <v>349</v>
      </c>
      <c r="AY333" s="13">
        <v>13.031715530465306</v>
      </c>
      <c r="AZ333" s="13">
        <v>0</v>
      </c>
      <c r="BA333" s="13"/>
      <c r="BB333" s="13"/>
      <c r="BC333" s="13">
        <v>-335.96828446953469</v>
      </c>
      <c r="BD333" s="13"/>
      <c r="BE333" s="13" t="s">
        <v>114</v>
      </c>
      <c r="BF333" s="29"/>
      <c r="BG333" s="13"/>
      <c r="BH333" s="13">
        <f>-FAR[[#This Row],[Carrying value (opening balance)]]/FAR[[#This Row],[Opening RUL 30 June 2026]]</f>
        <v>-13.747329967109357</v>
      </c>
      <c r="BI333" s="13">
        <f>FAR[[#This Row],[Depreciation YTD]]/12</f>
        <v>-1.1456108305924464</v>
      </c>
      <c r="BJ333" s="13"/>
      <c r="BK333" s="13" t="s">
        <v>116</v>
      </c>
      <c r="BL333" s="13">
        <v>0</v>
      </c>
      <c r="BM333" s="13">
        <f>FAR[[#This Row],[Accumulated depreciation (Opening balance)]]+FAR[[#This Row],[Depreciation YTD]]+FAR[[#This Row],[Derecognitions (acc dep) '[+']]]</f>
        <v>-349.71561443664405</v>
      </c>
      <c r="BN333" s="13"/>
      <c r="BO333" s="13"/>
      <c r="BP333" s="13"/>
      <c r="BQ333" s="13"/>
      <c r="BR33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33" s="13">
        <f>FAR[[#This Row],[Cost Price (closing balance)]]+FAR[[#This Row],[Accumulated depreciation (Closing balance)]]+FAR[[#This Row],[Accumulated impairments (Closing balance)]]</f>
        <v>-0.71561443664404578</v>
      </c>
      <c r="BT333" s="13"/>
      <c r="BU333" s="13"/>
      <c r="BV333" s="13"/>
      <c r="BW333" s="10" t="s">
        <v>167</v>
      </c>
      <c r="BX333" s="9" t="s">
        <v>168</v>
      </c>
      <c r="BY333" s="10"/>
      <c r="BZ333">
        <v>0</v>
      </c>
      <c r="CA333"/>
      <c r="CB333" s="34"/>
      <c r="CC333" s="34"/>
      <c r="CD333" s="34"/>
      <c r="CE333" s="141"/>
    </row>
    <row r="334" spans="1:83">
      <c r="A334" s="35">
        <v>1422</v>
      </c>
      <c r="B334" s="9" t="s">
        <v>854</v>
      </c>
      <c r="C334" s="9" t="s">
        <v>54</v>
      </c>
      <c r="D334" s="10" t="s">
        <v>1</v>
      </c>
      <c r="E334" s="9" t="s">
        <v>115</v>
      </c>
      <c r="F334" s="36" t="s">
        <v>99</v>
      </c>
      <c r="G334" s="9" t="s">
        <v>100</v>
      </c>
      <c r="H334" s="3" t="s">
        <v>623</v>
      </c>
      <c r="I334" s="9" t="s">
        <v>100</v>
      </c>
      <c r="J334" s="36" t="s">
        <v>101</v>
      </c>
      <c r="K334" s="10" t="s">
        <v>559</v>
      </c>
      <c r="L334" s="10" t="s">
        <v>559</v>
      </c>
      <c r="M334" s="9" t="s">
        <v>100</v>
      </c>
      <c r="N334" s="10" t="s">
        <v>653</v>
      </c>
      <c r="O334" s="9" t="s">
        <v>100</v>
      </c>
      <c r="P334" s="10"/>
      <c r="Q334" s="10" t="s">
        <v>653</v>
      </c>
      <c r="R334" s="10" t="s">
        <v>119</v>
      </c>
      <c r="S334" s="10" t="s">
        <v>130</v>
      </c>
      <c r="T334" s="10" t="s">
        <v>120</v>
      </c>
      <c r="U334" s="10" t="s">
        <v>101</v>
      </c>
      <c r="V334" s="10" t="s">
        <v>121</v>
      </c>
      <c r="W334" s="10" t="s">
        <v>122</v>
      </c>
      <c r="X334" s="10" t="s">
        <v>123</v>
      </c>
      <c r="Y334" s="29">
        <v>1</v>
      </c>
      <c r="Z334" s="138" t="s">
        <v>680</v>
      </c>
      <c r="AA334" s="138">
        <v>44036</v>
      </c>
      <c r="AB334" s="9" t="s">
        <v>114</v>
      </c>
      <c r="AC334" s="9" t="s">
        <v>124</v>
      </c>
      <c r="AD334" s="15">
        <v>44651</v>
      </c>
      <c r="AE334" s="39" t="s">
        <v>125</v>
      </c>
      <c r="AF334" s="177">
        <v>6</v>
      </c>
      <c r="AG334" s="140">
        <v>0</v>
      </c>
      <c r="AH334" s="9">
        <v>0</v>
      </c>
      <c r="AI334" s="10" t="s">
        <v>126</v>
      </c>
      <c r="AJ334" s="10"/>
      <c r="AK334" s="29"/>
      <c r="AL334" s="12">
        <v>1.065753424657534</v>
      </c>
      <c r="AM334" s="10"/>
      <c r="AN334" s="12">
        <f>FAR[[#This Row],[Opening RUL]]+FAR[[#This Row],[RUL Adjustment]]</f>
        <v>1.065753424657534</v>
      </c>
      <c r="AO334" s="12">
        <f>FAR[[#This Row],[Opening RUL 30 June 2026]]-1</f>
        <v>6.5753424657533976E-2</v>
      </c>
      <c r="AP334" s="12" t="s">
        <v>1050</v>
      </c>
      <c r="AQ334" s="139"/>
      <c r="AR334" s="10" t="s">
        <v>127</v>
      </c>
      <c r="AS334" s="13">
        <v>1196</v>
      </c>
      <c r="AT334" s="13"/>
      <c r="AU334" s="13">
        <v>0</v>
      </c>
      <c r="AV334" s="13">
        <v>0</v>
      </c>
      <c r="AW334" s="13">
        <v>0</v>
      </c>
      <c r="AX334" s="13">
        <v>1196</v>
      </c>
      <c r="AY334" s="13">
        <v>178.23100594916173</v>
      </c>
      <c r="AZ334" s="13">
        <v>0</v>
      </c>
      <c r="BA334" s="13"/>
      <c r="BB334" s="13"/>
      <c r="BC334" s="13">
        <v>-1017.7689940508383</v>
      </c>
      <c r="BD334" s="13"/>
      <c r="BE334" s="13" t="s">
        <v>114</v>
      </c>
      <c r="BF334" s="29"/>
      <c r="BG334" s="13"/>
      <c r="BH334" s="13">
        <f>-FAR[[#This Row],[Carrying value (opening balance)]]/FAR[[#This Row],[Opening RUL 30 June 2026]]</f>
        <v>-167.23474851270964</v>
      </c>
      <c r="BI334" s="13">
        <f>FAR[[#This Row],[Depreciation YTD]]/12</f>
        <v>-13.936229042725804</v>
      </c>
      <c r="BJ334" s="13"/>
      <c r="BK334" s="13" t="s">
        <v>116</v>
      </c>
      <c r="BL334" s="13">
        <v>0</v>
      </c>
      <c r="BM334" s="13">
        <f>FAR[[#This Row],[Accumulated depreciation (Opening balance)]]+FAR[[#This Row],[Depreciation YTD]]+FAR[[#This Row],[Derecognitions (acc dep) '[+']]]</f>
        <v>-1185.0037425635478</v>
      </c>
      <c r="BN334" s="13"/>
      <c r="BO334" s="13"/>
      <c r="BP334" s="13"/>
      <c r="BQ334" s="13"/>
      <c r="BR33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34" s="13">
        <f>FAR[[#This Row],[Cost Price (closing balance)]]+FAR[[#This Row],[Accumulated depreciation (Closing balance)]]+FAR[[#This Row],[Accumulated impairments (Closing balance)]]</f>
        <v>10.996257436452197</v>
      </c>
      <c r="BT334" s="13"/>
      <c r="BU334" s="13"/>
      <c r="BV334" s="13"/>
      <c r="BW334" s="10" t="s">
        <v>167</v>
      </c>
      <c r="BX334" s="9" t="s">
        <v>168</v>
      </c>
      <c r="BY334" s="10"/>
      <c r="BZ334" t="s">
        <v>940</v>
      </c>
      <c r="CA334"/>
      <c r="CB334" s="34"/>
      <c r="CC334" s="34"/>
      <c r="CD334" s="34"/>
      <c r="CE334" s="141"/>
    </row>
    <row r="335" spans="1:83">
      <c r="A335" s="35">
        <v>1423</v>
      </c>
      <c r="B335" s="9">
        <v>0</v>
      </c>
      <c r="C335" s="9" t="s">
        <v>54</v>
      </c>
      <c r="D335" s="10" t="s">
        <v>1</v>
      </c>
      <c r="E335" s="9" t="s">
        <v>115</v>
      </c>
      <c r="F335" s="36" t="s">
        <v>99</v>
      </c>
      <c r="G335" s="9" t="s">
        <v>100</v>
      </c>
      <c r="H335" s="3" t="s">
        <v>623</v>
      </c>
      <c r="I335" s="9" t="s">
        <v>100</v>
      </c>
      <c r="J335" s="36" t="s">
        <v>101</v>
      </c>
      <c r="K335" s="10" t="s">
        <v>559</v>
      </c>
      <c r="L335" s="10" t="s">
        <v>559</v>
      </c>
      <c r="M335" s="9" t="s">
        <v>100</v>
      </c>
      <c r="N335" s="10" t="s">
        <v>653</v>
      </c>
      <c r="O335" s="9" t="s">
        <v>100</v>
      </c>
      <c r="P335" s="10"/>
      <c r="Q335" s="10" t="s">
        <v>653</v>
      </c>
      <c r="R335" s="10" t="s">
        <v>119</v>
      </c>
      <c r="S335" s="10" t="s">
        <v>130</v>
      </c>
      <c r="T335" s="10" t="s">
        <v>120</v>
      </c>
      <c r="U335" s="10" t="s">
        <v>101</v>
      </c>
      <c r="V335" s="10" t="s">
        <v>121</v>
      </c>
      <c r="W335" s="10" t="s">
        <v>122</v>
      </c>
      <c r="X335" s="10" t="s">
        <v>123</v>
      </c>
      <c r="Y335" s="29">
        <v>1</v>
      </c>
      <c r="Z335" s="138" t="s">
        <v>680</v>
      </c>
      <c r="AA335" s="138">
        <v>44036</v>
      </c>
      <c r="AB335" s="9" t="s">
        <v>114</v>
      </c>
      <c r="AC335" s="9" t="s">
        <v>124</v>
      </c>
      <c r="AD335" s="15">
        <v>44651</v>
      </c>
      <c r="AE335" s="39" t="s">
        <v>125</v>
      </c>
      <c r="AF335" s="177">
        <v>6</v>
      </c>
      <c r="AG335" s="140">
        <v>0</v>
      </c>
      <c r="AH335" s="9">
        <v>0</v>
      </c>
      <c r="AI335" s="10" t="s">
        <v>126</v>
      </c>
      <c r="AJ335" s="10"/>
      <c r="AK335" s="29"/>
      <c r="AL335" s="12">
        <v>1.065753424657534</v>
      </c>
      <c r="AM335" s="10"/>
      <c r="AN335" s="12">
        <f>FAR[[#This Row],[Opening RUL]]+FAR[[#This Row],[RUL Adjustment]]</f>
        <v>1.065753424657534</v>
      </c>
      <c r="AO335" s="12">
        <f>FAR[[#This Row],[Opening RUL 30 June 2026]]-1</f>
        <v>6.5753424657533976E-2</v>
      </c>
      <c r="AP335" s="12">
        <v>0</v>
      </c>
      <c r="AQ335" s="139"/>
      <c r="AR335" s="10" t="s">
        <v>127</v>
      </c>
      <c r="AS335" s="13">
        <v>1196</v>
      </c>
      <c r="AT335" s="13"/>
      <c r="AU335" s="13">
        <v>0</v>
      </c>
      <c r="AV335" s="13">
        <v>0</v>
      </c>
      <c r="AW335" s="13">
        <v>0</v>
      </c>
      <c r="AX335" s="13">
        <v>1196</v>
      </c>
      <c r="AY335" s="13">
        <v>178.23100594916173</v>
      </c>
      <c r="AZ335" s="13">
        <v>0</v>
      </c>
      <c r="BA335" s="13"/>
      <c r="BB335" s="13"/>
      <c r="BC335" s="13">
        <v>-1017.7689940508383</v>
      </c>
      <c r="BD335" s="13"/>
      <c r="BE335" s="13" t="s">
        <v>114</v>
      </c>
      <c r="BF335" s="29"/>
      <c r="BG335" s="13"/>
      <c r="BH335" s="13">
        <f>-FAR[[#This Row],[Carrying value (opening balance)]]/FAR[[#This Row],[Opening RUL 30 June 2026]]</f>
        <v>-167.23474851270964</v>
      </c>
      <c r="BI335" s="13">
        <f>FAR[[#This Row],[Depreciation YTD]]/12</f>
        <v>-13.936229042725804</v>
      </c>
      <c r="BJ335" s="13"/>
      <c r="BK335" s="13" t="s">
        <v>116</v>
      </c>
      <c r="BL335" s="13">
        <v>0</v>
      </c>
      <c r="BM335" s="13">
        <f>FAR[[#This Row],[Accumulated depreciation (Opening balance)]]+FAR[[#This Row],[Depreciation YTD]]+FAR[[#This Row],[Derecognitions (acc dep) '[+']]]</f>
        <v>-1185.0037425635478</v>
      </c>
      <c r="BN335" s="13"/>
      <c r="BO335" s="13"/>
      <c r="BP335" s="13"/>
      <c r="BQ335" s="13"/>
      <c r="BR33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35" s="13">
        <f>FAR[[#This Row],[Cost Price (closing balance)]]+FAR[[#This Row],[Accumulated depreciation (Closing balance)]]+FAR[[#This Row],[Accumulated impairments (Closing balance)]]</f>
        <v>10.996257436452197</v>
      </c>
      <c r="BT335" s="13"/>
      <c r="BU335" s="13"/>
      <c r="BV335" s="13"/>
      <c r="BW335" s="10" t="s">
        <v>167</v>
      </c>
      <c r="BX335" s="9" t="s">
        <v>168</v>
      </c>
      <c r="BY335" s="10"/>
      <c r="BZ335">
        <v>0</v>
      </c>
      <c r="CA335"/>
      <c r="CB335" s="34"/>
      <c r="CC335" s="34"/>
      <c r="CD335" s="34"/>
      <c r="CE335" s="141"/>
    </row>
    <row r="336" spans="1:83">
      <c r="A336" s="35">
        <v>1424</v>
      </c>
      <c r="B336" s="9" t="s">
        <v>854</v>
      </c>
      <c r="C336" s="9" t="s">
        <v>54</v>
      </c>
      <c r="D336" s="10" t="s">
        <v>1</v>
      </c>
      <c r="E336" s="9" t="s">
        <v>115</v>
      </c>
      <c r="F336" s="36" t="s">
        <v>99</v>
      </c>
      <c r="G336" s="9" t="s">
        <v>100</v>
      </c>
      <c r="H336" s="3" t="s">
        <v>623</v>
      </c>
      <c r="I336" s="9" t="s">
        <v>100</v>
      </c>
      <c r="J336" s="36" t="s">
        <v>101</v>
      </c>
      <c r="K336" s="10" t="s">
        <v>559</v>
      </c>
      <c r="L336" s="10" t="s">
        <v>559</v>
      </c>
      <c r="M336" s="9" t="s">
        <v>100</v>
      </c>
      <c r="N336" s="10" t="s">
        <v>653</v>
      </c>
      <c r="O336" s="9" t="s">
        <v>100</v>
      </c>
      <c r="P336" s="10"/>
      <c r="Q336" s="10" t="s">
        <v>653</v>
      </c>
      <c r="R336" s="10" t="s">
        <v>119</v>
      </c>
      <c r="S336" s="10" t="s">
        <v>130</v>
      </c>
      <c r="T336" s="10" t="s">
        <v>120</v>
      </c>
      <c r="U336" s="10" t="s">
        <v>101</v>
      </c>
      <c r="V336" s="10" t="s">
        <v>121</v>
      </c>
      <c r="W336" s="10" t="s">
        <v>122</v>
      </c>
      <c r="X336" s="10" t="s">
        <v>123</v>
      </c>
      <c r="Y336" s="29">
        <v>1</v>
      </c>
      <c r="Z336" s="138" t="s">
        <v>680</v>
      </c>
      <c r="AA336" s="138">
        <v>44036</v>
      </c>
      <c r="AB336" s="9" t="s">
        <v>114</v>
      </c>
      <c r="AC336" s="9" t="s">
        <v>124</v>
      </c>
      <c r="AD336" s="15">
        <v>44651</v>
      </c>
      <c r="AE336" s="39" t="s">
        <v>125</v>
      </c>
      <c r="AF336" s="177">
        <v>6</v>
      </c>
      <c r="AG336" s="140">
        <v>0</v>
      </c>
      <c r="AH336" s="9">
        <v>0</v>
      </c>
      <c r="AI336" s="10" t="s">
        <v>126</v>
      </c>
      <c r="AJ336" s="10"/>
      <c r="AK336" s="29"/>
      <c r="AL336" s="12">
        <v>1.065753424657534</v>
      </c>
      <c r="AM336" s="10"/>
      <c r="AN336" s="12">
        <f>FAR[[#This Row],[Opening RUL]]+FAR[[#This Row],[RUL Adjustment]]</f>
        <v>1.065753424657534</v>
      </c>
      <c r="AO336" s="12">
        <f>FAR[[#This Row],[Opening RUL 30 June 2026]]-1</f>
        <v>6.5753424657533976E-2</v>
      </c>
      <c r="AP336" s="12" t="s">
        <v>1050</v>
      </c>
      <c r="AQ336" s="139"/>
      <c r="AR336" s="10" t="s">
        <v>127</v>
      </c>
      <c r="AS336" s="13">
        <v>1196</v>
      </c>
      <c r="AT336" s="13"/>
      <c r="AU336" s="13">
        <v>0</v>
      </c>
      <c r="AV336" s="13">
        <v>0</v>
      </c>
      <c r="AW336" s="13">
        <v>0</v>
      </c>
      <c r="AX336" s="13">
        <v>1196</v>
      </c>
      <c r="AY336" s="13">
        <v>178.23100594916173</v>
      </c>
      <c r="AZ336" s="13">
        <v>0</v>
      </c>
      <c r="BA336" s="13"/>
      <c r="BB336" s="13"/>
      <c r="BC336" s="13">
        <v>-1017.7689940508383</v>
      </c>
      <c r="BD336" s="13"/>
      <c r="BE336" s="13" t="s">
        <v>114</v>
      </c>
      <c r="BF336" s="29"/>
      <c r="BG336" s="13"/>
      <c r="BH336" s="13">
        <f>-FAR[[#This Row],[Carrying value (opening balance)]]/FAR[[#This Row],[Opening RUL 30 June 2026]]</f>
        <v>-167.23474851270964</v>
      </c>
      <c r="BI336" s="13">
        <f>FAR[[#This Row],[Depreciation YTD]]/12</f>
        <v>-13.936229042725804</v>
      </c>
      <c r="BJ336" s="13"/>
      <c r="BK336" s="13" t="s">
        <v>116</v>
      </c>
      <c r="BL336" s="13">
        <v>0</v>
      </c>
      <c r="BM336" s="13">
        <f>FAR[[#This Row],[Accumulated depreciation (Opening balance)]]+FAR[[#This Row],[Depreciation YTD]]+FAR[[#This Row],[Derecognitions (acc dep) '[+']]]</f>
        <v>-1185.0037425635478</v>
      </c>
      <c r="BN336" s="13"/>
      <c r="BO336" s="13"/>
      <c r="BP336" s="13"/>
      <c r="BQ336" s="13"/>
      <c r="BR33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36" s="13">
        <f>FAR[[#This Row],[Cost Price (closing balance)]]+FAR[[#This Row],[Accumulated depreciation (Closing balance)]]+FAR[[#This Row],[Accumulated impairments (Closing balance)]]</f>
        <v>10.996257436452197</v>
      </c>
      <c r="BT336" s="13"/>
      <c r="BU336" s="13"/>
      <c r="BV336" s="13"/>
      <c r="BW336" s="10" t="s">
        <v>167</v>
      </c>
      <c r="BX336" s="9" t="s">
        <v>168</v>
      </c>
      <c r="BY336" s="10"/>
      <c r="BZ336" t="s">
        <v>940</v>
      </c>
      <c r="CA336"/>
      <c r="CB336" s="34"/>
      <c r="CC336" s="34"/>
      <c r="CD336" s="34"/>
      <c r="CE336" s="141"/>
    </row>
    <row r="337" spans="1:83">
      <c r="A337" s="35">
        <v>1425</v>
      </c>
      <c r="B337" s="9" t="s">
        <v>854</v>
      </c>
      <c r="C337" s="9" t="s">
        <v>54</v>
      </c>
      <c r="D337" s="10" t="s">
        <v>1</v>
      </c>
      <c r="E337" s="9" t="s">
        <v>115</v>
      </c>
      <c r="F337" s="36" t="s">
        <v>99</v>
      </c>
      <c r="G337" s="9" t="s">
        <v>100</v>
      </c>
      <c r="H337" s="3" t="s">
        <v>623</v>
      </c>
      <c r="I337" s="9" t="s">
        <v>100</v>
      </c>
      <c r="J337" s="36" t="s">
        <v>101</v>
      </c>
      <c r="K337" s="10" t="s">
        <v>559</v>
      </c>
      <c r="L337" s="10" t="s">
        <v>559</v>
      </c>
      <c r="M337" s="9" t="s">
        <v>100</v>
      </c>
      <c r="N337" s="10" t="s">
        <v>653</v>
      </c>
      <c r="O337" s="9" t="s">
        <v>100</v>
      </c>
      <c r="P337" s="10"/>
      <c r="Q337" s="10" t="s">
        <v>653</v>
      </c>
      <c r="R337" s="10" t="s">
        <v>119</v>
      </c>
      <c r="S337" s="10" t="s">
        <v>130</v>
      </c>
      <c r="T337" s="10" t="s">
        <v>120</v>
      </c>
      <c r="U337" s="10" t="s">
        <v>101</v>
      </c>
      <c r="V337" s="10" t="s">
        <v>121</v>
      </c>
      <c r="W337" s="10" t="s">
        <v>122</v>
      </c>
      <c r="X337" s="10" t="s">
        <v>123</v>
      </c>
      <c r="Y337" s="29">
        <v>1</v>
      </c>
      <c r="Z337" s="138" t="s">
        <v>680</v>
      </c>
      <c r="AA337" s="138">
        <v>44036</v>
      </c>
      <c r="AB337" s="9" t="s">
        <v>114</v>
      </c>
      <c r="AC337" s="9" t="s">
        <v>124</v>
      </c>
      <c r="AD337" s="15">
        <v>44651</v>
      </c>
      <c r="AE337" s="39" t="s">
        <v>125</v>
      </c>
      <c r="AF337" s="177">
        <v>6</v>
      </c>
      <c r="AG337" s="140">
        <v>0</v>
      </c>
      <c r="AH337" s="9">
        <v>0</v>
      </c>
      <c r="AI337" s="10" t="s">
        <v>126</v>
      </c>
      <c r="AJ337" s="10"/>
      <c r="AK337" s="29"/>
      <c r="AL337" s="12">
        <v>1.065753424657534</v>
      </c>
      <c r="AM337" s="10"/>
      <c r="AN337" s="12">
        <f>FAR[[#This Row],[Opening RUL]]+FAR[[#This Row],[RUL Adjustment]]</f>
        <v>1.065753424657534</v>
      </c>
      <c r="AO337" s="12">
        <f>FAR[[#This Row],[Opening RUL 30 June 2026]]-1</f>
        <v>6.5753424657533976E-2</v>
      </c>
      <c r="AP337" s="12" t="s">
        <v>1050</v>
      </c>
      <c r="AQ337" s="139"/>
      <c r="AR337" s="10" t="s">
        <v>127</v>
      </c>
      <c r="AS337" s="13">
        <v>1196</v>
      </c>
      <c r="AT337" s="13"/>
      <c r="AU337" s="13">
        <v>0</v>
      </c>
      <c r="AV337" s="13">
        <v>0</v>
      </c>
      <c r="AW337" s="13">
        <v>0</v>
      </c>
      <c r="AX337" s="13">
        <v>1196</v>
      </c>
      <c r="AY337" s="13">
        <v>178.23100594916173</v>
      </c>
      <c r="AZ337" s="13">
        <v>0</v>
      </c>
      <c r="BA337" s="13"/>
      <c r="BB337" s="13"/>
      <c r="BC337" s="13">
        <v>-1017.7689940508383</v>
      </c>
      <c r="BD337" s="13"/>
      <c r="BE337" s="13" t="s">
        <v>114</v>
      </c>
      <c r="BF337" s="29"/>
      <c r="BG337" s="13"/>
      <c r="BH337" s="13">
        <f>-FAR[[#This Row],[Carrying value (opening balance)]]/FAR[[#This Row],[Opening RUL 30 June 2026]]</f>
        <v>-167.23474851270964</v>
      </c>
      <c r="BI337" s="13">
        <f>FAR[[#This Row],[Depreciation YTD]]/12</f>
        <v>-13.936229042725804</v>
      </c>
      <c r="BJ337" s="13"/>
      <c r="BK337" s="13" t="s">
        <v>116</v>
      </c>
      <c r="BL337" s="13">
        <v>0</v>
      </c>
      <c r="BM337" s="13">
        <f>FAR[[#This Row],[Accumulated depreciation (Opening balance)]]+FAR[[#This Row],[Depreciation YTD]]+FAR[[#This Row],[Derecognitions (acc dep) '[+']]]</f>
        <v>-1185.0037425635478</v>
      </c>
      <c r="BN337" s="13"/>
      <c r="BO337" s="13"/>
      <c r="BP337" s="13"/>
      <c r="BQ337" s="13"/>
      <c r="BR33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37" s="13">
        <f>FAR[[#This Row],[Cost Price (closing balance)]]+FAR[[#This Row],[Accumulated depreciation (Closing balance)]]+FAR[[#This Row],[Accumulated impairments (Closing balance)]]</f>
        <v>10.996257436452197</v>
      </c>
      <c r="BT337" s="13"/>
      <c r="BU337" s="13"/>
      <c r="BV337" s="13"/>
      <c r="BW337" s="10" t="s">
        <v>167</v>
      </c>
      <c r="BX337" s="9" t="s">
        <v>168</v>
      </c>
      <c r="BY337" s="10"/>
      <c r="BZ337" t="s">
        <v>940</v>
      </c>
      <c r="CA337"/>
      <c r="CB337" s="34"/>
      <c r="CC337" s="34"/>
      <c r="CD337" s="34"/>
      <c r="CE337" s="141"/>
    </row>
    <row r="338" spans="1:83">
      <c r="A338" s="35">
        <v>1426</v>
      </c>
      <c r="B338" s="9" t="s">
        <v>854</v>
      </c>
      <c r="C338" s="9" t="s">
        <v>54</v>
      </c>
      <c r="D338" s="10" t="s">
        <v>1</v>
      </c>
      <c r="E338" s="9" t="s">
        <v>115</v>
      </c>
      <c r="F338" s="36" t="s">
        <v>99</v>
      </c>
      <c r="G338" s="9" t="s">
        <v>100</v>
      </c>
      <c r="H338" s="3" t="s">
        <v>623</v>
      </c>
      <c r="I338" s="9" t="s">
        <v>100</v>
      </c>
      <c r="J338" s="36" t="s">
        <v>101</v>
      </c>
      <c r="K338" s="10" t="s">
        <v>559</v>
      </c>
      <c r="L338" s="10" t="s">
        <v>559</v>
      </c>
      <c r="M338" s="9" t="s">
        <v>100</v>
      </c>
      <c r="N338" s="10" t="s">
        <v>653</v>
      </c>
      <c r="O338" s="9" t="s">
        <v>100</v>
      </c>
      <c r="P338" s="10"/>
      <c r="Q338" s="10" t="s">
        <v>653</v>
      </c>
      <c r="R338" s="10" t="s">
        <v>119</v>
      </c>
      <c r="S338" s="10" t="s">
        <v>130</v>
      </c>
      <c r="T338" s="10" t="s">
        <v>120</v>
      </c>
      <c r="U338" s="10" t="s">
        <v>101</v>
      </c>
      <c r="V338" s="10" t="s">
        <v>121</v>
      </c>
      <c r="W338" s="10" t="s">
        <v>122</v>
      </c>
      <c r="X338" s="10" t="s">
        <v>123</v>
      </c>
      <c r="Y338" s="29">
        <v>1</v>
      </c>
      <c r="Z338" s="138" t="s">
        <v>680</v>
      </c>
      <c r="AA338" s="138">
        <v>44036</v>
      </c>
      <c r="AB338" s="9" t="s">
        <v>114</v>
      </c>
      <c r="AC338" s="9" t="s">
        <v>124</v>
      </c>
      <c r="AD338" s="15">
        <v>44651</v>
      </c>
      <c r="AE338" s="39" t="s">
        <v>125</v>
      </c>
      <c r="AF338" s="177">
        <v>6</v>
      </c>
      <c r="AG338" s="140">
        <v>0</v>
      </c>
      <c r="AH338" s="9">
        <v>0</v>
      </c>
      <c r="AI338" s="10" t="s">
        <v>126</v>
      </c>
      <c r="AJ338" s="10"/>
      <c r="AK338" s="29"/>
      <c r="AL338" s="12">
        <v>1.065753424657534</v>
      </c>
      <c r="AM338" s="10"/>
      <c r="AN338" s="12">
        <f>FAR[[#This Row],[Opening RUL]]+FAR[[#This Row],[RUL Adjustment]]</f>
        <v>1.065753424657534</v>
      </c>
      <c r="AO338" s="12">
        <f>FAR[[#This Row],[Opening RUL 30 June 2026]]-1</f>
        <v>6.5753424657533976E-2</v>
      </c>
      <c r="AP338" s="12" t="s">
        <v>1050</v>
      </c>
      <c r="AQ338" s="139"/>
      <c r="AR338" s="10" t="s">
        <v>127</v>
      </c>
      <c r="AS338" s="13">
        <v>1196</v>
      </c>
      <c r="AT338" s="13"/>
      <c r="AU338" s="13">
        <v>0</v>
      </c>
      <c r="AV338" s="13">
        <v>0</v>
      </c>
      <c r="AW338" s="13">
        <v>0</v>
      </c>
      <c r="AX338" s="13">
        <v>1196</v>
      </c>
      <c r="AY338" s="13">
        <v>178.23100594916173</v>
      </c>
      <c r="AZ338" s="13">
        <v>0</v>
      </c>
      <c r="BA338" s="13"/>
      <c r="BB338" s="13"/>
      <c r="BC338" s="13">
        <v>-1017.7689940508383</v>
      </c>
      <c r="BD338" s="13"/>
      <c r="BE338" s="13" t="s">
        <v>114</v>
      </c>
      <c r="BF338" s="29"/>
      <c r="BG338" s="13"/>
      <c r="BH338" s="13">
        <f>-FAR[[#This Row],[Carrying value (opening balance)]]/FAR[[#This Row],[Opening RUL 30 June 2026]]</f>
        <v>-167.23474851270964</v>
      </c>
      <c r="BI338" s="13">
        <f>FAR[[#This Row],[Depreciation YTD]]/12</f>
        <v>-13.936229042725804</v>
      </c>
      <c r="BJ338" s="13"/>
      <c r="BK338" s="13" t="s">
        <v>116</v>
      </c>
      <c r="BL338" s="13">
        <v>0</v>
      </c>
      <c r="BM338" s="13">
        <f>FAR[[#This Row],[Accumulated depreciation (Opening balance)]]+FAR[[#This Row],[Depreciation YTD]]+FAR[[#This Row],[Derecognitions (acc dep) '[+']]]</f>
        <v>-1185.0037425635478</v>
      </c>
      <c r="BN338" s="13"/>
      <c r="BO338" s="13"/>
      <c r="BP338" s="13"/>
      <c r="BQ338" s="13"/>
      <c r="BR33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38" s="13">
        <f>FAR[[#This Row],[Cost Price (closing balance)]]+FAR[[#This Row],[Accumulated depreciation (Closing balance)]]+FAR[[#This Row],[Accumulated impairments (Closing balance)]]</f>
        <v>10.996257436452197</v>
      </c>
      <c r="BT338" s="13"/>
      <c r="BU338" s="13"/>
      <c r="BV338" s="13"/>
      <c r="BW338" s="10" t="s">
        <v>167</v>
      </c>
      <c r="BX338" s="9" t="s">
        <v>168</v>
      </c>
      <c r="BY338" s="10"/>
      <c r="BZ338" t="s">
        <v>982</v>
      </c>
      <c r="CA338"/>
      <c r="CB338" s="34"/>
      <c r="CC338" s="34"/>
      <c r="CD338" s="34"/>
      <c r="CE338" s="141"/>
    </row>
    <row r="339" spans="1:83">
      <c r="A339" s="35">
        <v>1427</v>
      </c>
      <c r="B339" s="9" t="s">
        <v>854</v>
      </c>
      <c r="C339" s="9" t="s">
        <v>54</v>
      </c>
      <c r="D339" s="10" t="s">
        <v>1</v>
      </c>
      <c r="E339" s="9" t="s">
        <v>115</v>
      </c>
      <c r="F339" s="36" t="s">
        <v>99</v>
      </c>
      <c r="G339" s="9" t="s">
        <v>100</v>
      </c>
      <c r="H339" s="3" t="s">
        <v>623</v>
      </c>
      <c r="I339" s="9" t="s">
        <v>100</v>
      </c>
      <c r="J339" s="36" t="s">
        <v>101</v>
      </c>
      <c r="K339" s="10" t="s">
        <v>559</v>
      </c>
      <c r="L339" s="10" t="s">
        <v>559</v>
      </c>
      <c r="M339" s="9" t="s">
        <v>100</v>
      </c>
      <c r="N339" s="10" t="s">
        <v>653</v>
      </c>
      <c r="O339" s="9" t="s">
        <v>100</v>
      </c>
      <c r="P339" s="10"/>
      <c r="Q339" s="10" t="s">
        <v>653</v>
      </c>
      <c r="R339" s="10" t="s">
        <v>119</v>
      </c>
      <c r="S339" s="10" t="s">
        <v>130</v>
      </c>
      <c r="T339" s="10" t="s">
        <v>120</v>
      </c>
      <c r="U339" s="10" t="s">
        <v>101</v>
      </c>
      <c r="V339" s="10" t="s">
        <v>121</v>
      </c>
      <c r="W339" s="10" t="s">
        <v>122</v>
      </c>
      <c r="X339" s="10" t="s">
        <v>123</v>
      </c>
      <c r="Y339" s="29">
        <v>1</v>
      </c>
      <c r="Z339" s="138" t="s">
        <v>680</v>
      </c>
      <c r="AA339" s="138">
        <v>44036</v>
      </c>
      <c r="AB339" s="9" t="s">
        <v>114</v>
      </c>
      <c r="AC339" s="9" t="s">
        <v>124</v>
      </c>
      <c r="AD339" s="15">
        <v>44651</v>
      </c>
      <c r="AE339" s="39" t="s">
        <v>125</v>
      </c>
      <c r="AF339" s="177">
        <v>6</v>
      </c>
      <c r="AG339" s="140">
        <v>0</v>
      </c>
      <c r="AH339" s="9">
        <v>0</v>
      </c>
      <c r="AI339" s="10" t="s">
        <v>126</v>
      </c>
      <c r="AJ339" s="10"/>
      <c r="AK339" s="29"/>
      <c r="AL339" s="12">
        <v>1.065753424657534</v>
      </c>
      <c r="AM339" s="10"/>
      <c r="AN339" s="12">
        <f>FAR[[#This Row],[Opening RUL]]+FAR[[#This Row],[RUL Adjustment]]</f>
        <v>1.065753424657534</v>
      </c>
      <c r="AO339" s="12">
        <f>FAR[[#This Row],[Opening RUL 30 June 2026]]-1</f>
        <v>6.5753424657533976E-2</v>
      </c>
      <c r="AP339" s="12" t="s">
        <v>1050</v>
      </c>
      <c r="AQ339" s="139"/>
      <c r="AR339" s="10" t="s">
        <v>127</v>
      </c>
      <c r="AS339" s="13">
        <v>1196</v>
      </c>
      <c r="AT339" s="13"/>
      <c r="AU339" s="13">
        <v>0</v>
      </c>
      <c r="AV339" s="13">
        <v>0</v>
      </c>
      <c r="AW339" s="13">
        <v>0</v>
      </c>
      <c r="AX339" s="13">
        <v>1196</v>
      </c>
      <c r="AY339" s="13">
        <v>178.23100594916173</v>
      </c>
      <c r="AZ339" s="13">
        <v>0</v>
      </c>
      <c r="BA339" s="13"/>
      <c r="BB339" s="13"/>
      <c r="BC339" s="13">
        <v>-1017.7689940508383</v>
      </c>
      <c r="BD339" s="13"/>
      <c r="BE339" s="13" t="s">
        <v>114</v>
      </c>
      <c r="BF339" s="29"/>
      <c r="BG339" s="13"/>
      <c r="BH339" s="13">
        <f>-FAR[[#This Row],[Carrying value (opening balance)]]/FAR[[#This Row],[Opening RUL 30 June 2026]]</f>
        <v>-167.23474851270964</v>
      </c>
      <c r="BI339" s="13">
        <f>FAR[[#This Row],[Depreciation YTD]]/12</f>
        <v>-13.936229042725804</v>
      </c>
      <c r="BJ339" s="13"/>
      <c r="BK339" s="13" t="s">
        <v>116</v>
      </c>
      <c r="BL339" s="13">
        <v>0</v>
      </c>
      <c r="BM339" s="13">
        <f>FAR[[#This Row],[Accumulated depreciation (Opening balance)]]+FAR[[#This Row],[Depreciation YTD]]+FAR[[#This Row],[Derecognitions (acc dep) '[+']]]</f>
        <v>-1185.0037425635478</v>
      </c>
      <c r="BN339" s="13"/>
      <c r="BO339" s="13"/>
      <c r="BP339" s="13"/>
      <c r="BQ339" s="13"/>
      <c r="BR33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39" s="13">
        <f>FAR[[#This Row],[Cost Price (closing balance)]]+FAR[[#This Row],[Accumulated depreciation (Closing balance)]]+FAR[[#This Row],[Accumulated impairments (Closing balance)]]</f>
        <v>10.996257436452197</v>
      </c>
      <c r="BT339" s="13"/>
      <c r="BU339" s="13"/>
      <c r="BV339" s="13"/>
      <c r="BW339" s="10" t="s">
        <v>167</v>
      </c>
      <c r="BX339" s="9" t="s">
        <v>168</v>
      </c>
      <c r="BY339" s="10"/>
      <c r="BZ339" t="s">
        <v>938</v>
      </c>
      <c r="CA339"/>
      <c r="CB339" s="34"/>
      <c r="CC339" s="34"/>
      <c r="CD339" s="34"/>
      <c r="CE339" s="141"/>
    </row>
    <row r="340" spans="1:83">
      <c r="A340" s="35">
        <v>1428</v>
      </c>
      <c r="B340" s="9" t="s">
        <v>854</v>
      </c>
      <c r="C340" s="9" t="s">
        <v>54</v>
      </c>
      <c r="D340" s="10" t="s">
        <v>1</v>
      </c>
      <c r="E340" s="9" t="s">
        <v>115</v>
      </c>
      <c r="F340" s="36" t="s">
        <v>99</v>
      </c>
      <c r="G340" s="9" t="s">
        <v>100</v>
      </c>
      <c r="H340" s="3" t="s">
        <v>623</v>
      </c>
      <c r="I340" s="9" t="s">
        <v>100</v>
      </c>
      <c r="J340" s="36" t="s">
        <v>101</v>
      </c>
      <c r="K340" s="10" t="s">
        <v>559</v>
      </c>
      <c r="L340" s="10" t="s">
        <v>559</v>
      </c>
      <c r="M340" s="9" t="s">
        <v>100</v>
      </c>
      <c r="N340" s="10" t="s">
        <v>653</v>
      </c>
      <c r="O340" s="9" t="s">
        <v>100</v>
      </c>
      <c r="P340" s="10"/>
      <c r="Q340" s="10" t="s">
        <v>653</v>
      </c>
      <c r="R340" s="10" t="s">
        <v>119</v>
      </c>
      <c r="S340" s="10" t="s">
        <v>130</v>
      </c>
      <c r="T340" s="10" t="s">
        <v>120</v>
      </c>
      <c r="U340" s="10" t="s">
        <v>101</v>
      </c>
      <c r="V340" s="10" t="s">
        <v>121</v>
      </c>
      <c r="W340" s="10" t="s">
        <v>122</v>
      </c>
      <c r="X340" s="10" t="s">
        <v>123</v>
      </c>
      <c r="Y340" s="29">
        <v>1</v>
      </c>
      <c r="Z340" s="138" t="s">
        <v>680</v>
      </c>
      <c r="AA340" s="138">
        <v>44036</v>
      </c>
      <c r="AB340" s="9" t="s">
        <v>114</v>
      </c>
      <c r="AC340" s="9" t="s">
        <v>124</v>
      </c>
      <c r="AD340" s="15">
        <v>44651</v>
      </c>
      <c r="AE340" s="39" t="s">
        <v>125</v>
      </c>
      <c r="AF340" s="177">
        <v>6</v>
      </c>
      <c r="AG340" s="140">
        <v>0</v>
      </c>
      <c r="AH340" s="9">
        <v>0</v>
      </c>
      <c r="AI340" s="10" t="s">
        <v>126</v>
      </c>
      <c r="AJ340" s="10"/>
      <c r="AK340" s="29"/>
      <c r="AL340" s="12">
        <v>1.065753424657534</v>
      </c>
      <c r="AM340" s="10"/>
      <c r="AN340" s="12">
        <f>FAR[[#This Row],[Opening RUL]]+FAR[[#This Row],[RUL Adjustment]]</f>
        <v>1.065753424657534</v>
      </c>
      <c r="AO340" s="12">
        <f>FAR[[#This Row],[Opening RUL 30 June 2026]]-1</f>
        <v>6.5753424657533976E-2</v>
      </c>
      <c r="AP340" s="12" t="s">
        <v>1050</v>
      </c>
      <c r="AQ340" s="139"/>
      <c r="AR340" s="10" t="s">
        <v>127</v>
      </c>
      <c r="AS340" s="13">
        <v>1196</v>
      </c>
      <c r="AT340" s="13"/>
      <c r="AU340" s="13">
        <v>0</v>
      </c>
      <c r="AV340" s="13">
        <v>0</v>
      </c>
      <c r="AW340" s="13">
        <v>0</v>
      </c>
      <c r="AX340" s="13">
        <v>1196</v>
      </c>
      <c r="AY340" s="13">
        <v>178.23100594916173</v>
      </c>
      <c r="AZ340" s="13">
        <v>0</v>
      </c>
      <c r="BA340" s="13"/>
      <c r="BB340" s="13"/>
      <c r="BC340" s="13">
        <v>-1017.7689940508383</v>
      </c>
      <c r="BD340" s="13"/>
      <c r="BE340" s="13" t="s">
        <v>114</v>
      </c>
      <c r="BF340" s="29"/>
      <c r="BG340" s="13"/>
      <c r="BH340" s="13">
        <f>-FAR[[#This Row],[Carrying value (opening balance)]]/FAR[[#This Row],[Opening RUL 30 June 2026]]</f>
        <v>-167.23474851270964</v>
      </c>
      <c r="BI340" s="13">
        <f>FAR[[#This Row],[Depreciation YTD]]/12</f>
        <v>-13.936229042725804</v>
      </c>
      <c r="BJ340" s="13"/>
      <c r="BK340" s="13" t="s">
        <v>116</v>
      </c>
      <c r="BL340" s="13">
        <v>0</v>
      </c>
      <c r="BM340" s="13">
        <f>FAR[[#This Row],[Accumulated depreciation (Opening balance)]]+FAR[[#This Row],[Depreciation YTD]]+FAR[[#This Row],[Derecognitions (acc dep) '[+']]]</f>
        <v>-1185.0037425635478</v>
      </c>
      <c r="BN340" s="13"/>
      <c r="BO340" s="13"/>
      <c r="BP340" s="13"/>
      <c r="BQ340" s="13"/>
      <c r="BR34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40" s="13">
        <f>FAR[[#This Row],[Cost Price (closing balance)]]+FAR[[#This Row],[Accumulated depreciation (Closing balance)]]+FAR[[#This Row],[Accumulated impairments (Closing balance)]]</f>
        <v>10.996257436452197</v>
      </c>
      <c r="BT340" s="13"/>
      <c r="BU340" s="13"/>
      <c r="BV340" s="13"/>
      <c r="BW340" s="10" t="s">
        <v>167</v>
      </c>
      <c r="BX340" s="9" t="s">
        <v>168</v>
      </c>
      <c r="BY340" s="10"/>
      <c r="BZ340" t="s">
        <v>938</v>
      </c>
      <c r="CA340"/>
      <c r="CB340" s="34"/>
      <c r="CC340" s="34"/>
      <c r="CD340" s="34"/>
      <c r="CE340" s="141"/>
    </row>
    <row r="341" spans="1:83">
      <c r="A341" s="35">
        <v>1429</v>
      </c>
      <c r="B341" s="9" t="s">
        <v>854</v>
      </c>
      <c r="C341" s="9" t="s">
        <v>54</v>
      </c>
      <c r="D341" s="10" t="s">
        <v>1</v>
      </c>
      <c r="E341" s="9" t="s">
        <v>115</v>
      </c>
      <c r="F341" s="36" t="s">
        <v>99</v>
      </c>
      <c r="G341" s="9" t="s">
        <v>100</v>
      </c>
      <c r="H341" s="3" t="s">
        <v>623</v>
      </c>
      <c r="I341" s="9" t="s">
        <v>100</v>
      </c>
      <c r="J341" s="36" t="s">
        <v>101</v>
      </c>
      <c r="K341" s="10" t="s">
        <v>559</v>
      </c>
      <c r="L341" s="10" t="s">
        <v>559</v>
      </c>
      <c r="M341" s="9" t="s">
        <v>100</v>
      </c>
      <c r="N341" s="10" t="s">
        <v>653</v>
      </c>
      <c r="O341" s="9" t="s">
        <v>100</v>
      </c>
      <c r="P341" s="10"/>
      <c r="Q341" s="10" t="s">
        <v>653</v>
      </c>
      <c r="R341" s="10" t="s">
        <v>119</v>
      </c>
      <c r="S341" s="10" t="s">
        <v>130</v>
      </c>
      <c r="T341" s="10" t="s">
        <v>120</v>
      </c>
      <c r="U341" s="10" t="s">
        <v>101</v>
      </c>
      <c r="V341" s="10" t="s">
        <v>121</v>
      </c>
      <c r="W341" s="10" t="s">
        <v>122</v>
      </c>
      <c r="X341" s="10" t="s">
        <v>123</v>
      </c>
      <c r="Y341" s="29">
        <v>1</v>
      </c>
      <c r="Z341" s="138" t="s">
        <v>680</v>
      </c>
      <c r="AA341" s="138">
        <v>44036</v>
      </c>
      <c r="AB341" s="9" t="s">
        <v>114</v>
      </c>
      <c r="AC341" s="9" t="s">
        <v>124</v>
      </c>
      <c r="AD341" s="15">
        <v>44651</v>
      </c>
      <c r="AE341" s="39" t="s">
        <v>125</v>
      </c>
      <c r="AF341" s="177">
        <v>6</v>
      </c>
      <c r="AG341" s="140">
        <v>0</v>
      </c>
      <c r="AH341" s="9">
        <v>0</v>
      </c>
      <c r="AI341" s="10" t="s">
        <v>126</v>
      </c>
      <c r="AJ341" s="10"/>
      <c r="AK341" s="29"/>
      <c r="AL341" s="12">
        <v>1.065753424657534</v>
      </c>
      <c r="AM341" s="10"/>
      <c r="AN341" s="12">
        <f>FAR[[#This Row],[Opening RUL]]+FAR[[#This Row],[RUL Adjustment]]</f>
        <v>1.065753424657534</v>
      </c>
      <c r="AO341" s="12">
        <f>FAR[[#This Row],[Opening RUL 30 June 2026]]-1</f>
        <v>6.5753424657533976E-2</v>
      </c>
      <c r="AP341" s="12" t="s">
        <v>1050</v>
      </c>
      <c r="AQ341" s="139"/>
      <c r="AR341" s="10" t="s">
        <v>127</v>
      </c>
      <c r="AS341" s="13">
        <v>1196</v>
      </c>
      <c r="AT341" s="13"/>
      <c r="AU341" s="13">
        <v>0</v>
      </c>
      <c r="AV341" s="13">
        <v>0</v>
      </c>
      <c r="AW341" s="13">
        <v>0</v>
      </c>
      <c r="AX341" s="13">
        <v>1196</v>
      </c>
      <c r="AY341" s="13">
        <v>178.23100594916173</v>
      </c>
      <c r="AZ341" s="13">
        <v>0</v>
      </c>
      <c r="BA341" s="13"/>
      <c r="BB341" s="13"/>
      <c r="BC341" s="13">
        <v>-1017.7689940508383</v>
      </c>
      <c r="BD341" s="13"/>
      <c r="BE341" s="13" t="s">
        <v>114</v>
      </c>
      <c r="BF341" s="29"/>
      <c r="BG341" s="13"/>
      <c r="BH341" s="13">
        <f>-FAR[[#This Row],[Carrying value (opening balance)]]/FAR[[#This Row],[Opening RUL 30 June 2026]]</f>
        <v>-167.23474851270964</v>
      </c>
      <c r="BI341" s="13">
        <f>FAR[[#This Row],[Depreciation YTD]]/12</f>
        <v>-13.936229042725804</v>
      </c>
      <c r="BJ341" s="13"/>
      <c r="BK341" s="13" t="s">
        <v>116</v>
      </c>
      <c r="BL341" s="13">
        <v>0</v>
      </c>
      <c r="BM341" s="13">
        <f>FAR[[#This Row],[Accumulated depreciation (Opening balance)]]+FAR[[#This Row],[Depreciation YTD]]+FAR[[#This Row],[Derecognitions (acc dep) '[+']]]</f>
        <v>-1185.0037425635478</v>
      </c>
      <c r="BN341" s="13"/>
      <c r="BO341" s="13"/>
      <c r="BP341" s="13"/>
      <c r="BQ341" s="13"/>
      <c r="BR34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41" s="13">
        <f>FAR[[#This Row],[Cost Price (closing balance)]]+FAR[[#This Row],[Accumulated depreciation (Closing balance)]]+FAR[[#This Row],[Accumulated impairments (Closing balance)]]</f>
        <v>10.996257436452197</v>
      </c>
      <c r="BT341" s="13"/>
      <c r="BU341" s="13"/>
      <c r="BV341" s="13"/>
      <c r="BW341" s="10" t="s">
        <v>167</v>
      </c>
      <c r="BX341" s="9" t="s">
        <v>168</v>
      </c>
      <c r="BY341" s="10"/>
      <c r="BZ341" t="s">
        <v>938</v>
      </c>
      <c r="CA341"/>
      <c r="CB341" s="34"/>
      <c r="CC341" s="34"/>
      <c r="CD341" s="34"/>
      <c r="CE341" s="141"/>
    </row>
    <row r="342" spans="1:83">
      <c r="A342" s="35">
        <v>1430</v>
      </c>
      <c r="B342" s="9" t="s">
        <v>854</v>
      </c>
      <c r="C342" s="9" t="s">
        <v>54</v>
      </c>
      <c r="D342" s="10" t="s">
        <v>1</v>
      </c>
      <c r="E342" s="9" t="s">
        <v>115</v>
      </c>
      <c r="F342" s="36" t="s">
        <v>99</v>
      </c>
      <c r="G342" s="9" t="s">
        <v>100</v>
      </c>
      <c r="H342" s="3" t="s">
        <v>623</v>
      </c>
      <c r="I342" s="9" t="s">
        <v>100</v>
      </c>
      <c r="J342" s="36" t="s">
        <v>101</v>
      </c>
      <c r="K342" s="10" t="s">
        <v>559</v>
      </c>
      <c r="L342" s="10" t="s">
        <v>559</v>
      </c>
      <c r="M342" s="9" t="s">
        <v>100</v>
      </c>
      <c r="N342" s="10" t="s">
        <v>653</v>
      </c>
      <c r="O342" s="9" t="s">
        <v>100</v>
      </c>
      <c r="P342" s="10"/>
      <c r="Q342" s="10" t="s">
        <v>653</v>
      </c>
      <c r="R342" s="10" t="s">
        <v>119</v>
      </c>
      <c r="S342" s="10" t="s">
        <v>130</v>
      </c>
      <c r="T342" s="10" t="s">
        <v>120</v>
      </c>
      <c r="U342" s="10" t="s">
        <v>101</v>
      </c>
      <c r="V342" s="10" t="s">
        <v>121</v>
      </c>
      <c r="W342" s="10" t="s">
        <v>122</v>
      </c>
      <c r="X342" s="10" t="s">
        <v>123</v>
      </c>
      <c r="Y342" s="29">
        <v>1</v>
      </c>
      <c r="Z342" s="138" t="s">
        <v>680</v>
      </c>
      <c r="AA342" s="138">
        <v>44036</v>
      </c>
      <c r="AB342" s="9" t="s">
        <v>114</v>
      </c>
      <c r="AC342" s="9" t="s">
        <v>124</v>
      </c>
      <c r="AD342" s="15">
        <v>44651</v>
      </c>
      <c r="AE342" s="39" t="s">
        <v>125</v>
      </c>
      <c r="AF342" s="177">
        <v>6</v>
      </c>
      <c r="AG342" s="140">
        <v>0</v>
      </c>
      <c r="AH342" s="9">
        <v>0</v>
      </c>
      <c r="AI342" s="10" t="s">
        <v>126</v>
      </c>
      <c r="AJ342" s="10"/>
      <c r="AK342" s="29"/>
      <c r="AL342" s="12">
        <v>1.065753424657534</v>
      </c>
      <c r="AM342" s="10"/>
      <c r="AN342" s="12">
        <f>FAR[[#This Row],[Opening RUL]]+FAR[[#This Row],[RUL Adjustment]]</f>
        <v>1.065753424657534</v>
      </c>
      <c r="AO342" s="12">
        <f>FAR[[#This Row],[Opening RUL 30 June 2026]]-1</f>
        <v>6.5753424657533976E-2</v>
      </c>
      <c r="AP342" s="12" t="s">
        <v>1050</v>
      </c>
      <c r="AQ342" s="139"/>
      <c r="AR342" s="10" t="s">
        <v>127</v>
      </c>
      <c r="AS342" s="13">
        <v>1196</v>
      </c>
      <c r="AT342" s="13"/>
      <c r="AU342" s="13">
        <v>0</v>
      </c>
      <c r="AV342" s="13">
        <v>0</v>
      </c>
      <c r="AW342" s="13">
        <v>0</v>
      </c>
      <c r="AX342" s="13">
        <v>1196</v>
      </c>
      <c r="AY342" s="13">
        <v>178.23100594916173</v>
      </c>
      <c r="AZ342" s="13">
        <v>0</v>
      </c>
      <c r="BA342" s="13"/>
      <c r="BB342" s="13"/>
      <c r="BC342" s="13">
        <v>-1017.7689940508383</v>
      </c>
      <c r="BD342" s="13"/>
      <c r="BE342" s="13" t="s">
        <v>114</v>
      </c>
      <c r="BF342" s="29"/>
      <c r="BG342" s="13"/>
      <c r="BH342" s="13">
        <f>-FAR[[#This Row],[Carrying value (opening balance)]]/FAR[[#This Row],[Opening RUL 30 June 2026]]</f>
        <v>-167.23474851270964</v>
      </c>
      <c r="BI342" s="13">
        <f>FAR[[#This Row],[Depreciation YTD]]/12</f>
        <v>-13.936229042725804</v>
      </c>
      <c r="BJ342" s="13"/>
      <c r="BK342" s="13" t="s">
        <v>116</v>
      </c>
      <c r="BL342" s="13">
        <v>0</v>
      </c>
      <c r="BM342" s="13">
        <f>FAR[[#This Row],[Accumulated depreciation (Opening balance)]]+FAR[[#This Row],[Depreciation YTD]]+FAR[[#This Row],[Derecognitions (acc dep) '[+']]]</f>
        <v>-1185.0037425635478</v>
      </c>
      <c r="BN342" s="13"/>
      <c r="BO342" s="13"/>
      <c r="BP342" s="13"/>
      <c r="BQ342" s="13"/>
      <c r="BR34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42" s="13">
        <f>FAR[[#This Row],[Cost Price (closing balance)]]+FAR[[#This Row],[Accumulated depreciation (Closing balance)]]+FAR[[#This Row],[Accumulated impairments (Closing balance)]]</f>
        <v>10.996257436452197</v>
      </c>
      <c r="BT342" s="13"/>
      <c r="BU342" s="13"/>
      <c r="BV342" s="13"/>
      <c r="BW342" s="10" t="s">
        <v>167</v>
      </c>
      <c r="BX342" s="9" t="s">
        <v>168</v>
      </c>
      <c r="BY342" s="10"/>
      <c r="BZ342" t="s">
        <v>940</v>
      </c>
      <c r="CA342"/>
      <c r="CB342" s="34"/>
      <c r="CC342" s="34"/>
      <c r="CD342" s="34"/>
      <c r="CE342" s="141"/>
    </row>
    <row r="343" spans="1:83">
      <c r="A343" s="35">
        <v>1431</v>
      </c>
      <c r="B343" s="9" t="s">
        <v>854</v>
      </c>
      <c r="C343" s="9" t="s">
        <v>54</v>
      </c>
      <c r="D343" s="10" t="s">
        <v>1</v>
      </c>
      <c r="E343" s="9" t="s">
        <v>115</v>
      </c>
      <c r="F343" s="36" t="s">
        <v>99</v>
      </c>
      <c r="G343" s="9" t="s">
        <v>100</v>
      </c>
      <c r="H343" s="3" t="s">
        <v>623</v>
      </c>
      <c r="I343" s="9" t="s">
        <v>100</v>
      </c>
      <c r="J343" s="36" t="s">
        <v>101</v>
      </c>
      <c r="K343" s="10" t="s">
        <v>559</v>
      </c>
      <c r="L343" s="10" t="s">
        <v>559</v>
      </c>
      <c r="M343" s="9" t="s">
        <v>100</v>
      </c>
      <c r="N343" s="10" t="s">
        <v>653</v>
      </c>
      <c r="O343" s="9" t="s">
        <v>100</v>
      </c>
      <c r="P343" s="10"/>
      <c r="Q343" s="10" t="s">
        <v>653</v>
      </c>
      <c r="R343" s="10" t="s">
        <v>119</v>
      </c>
      <c r="S343" s="10" t="s">
        <v>130</v>
      </c>
      <c r="T343" s="10" t="s">
        <v>120</v>
      </c>
      <c r="U343" s="10" t="s">
        <v>101</v>
      </c>
      <c r="V343" s="10" t="s">
        <v>121</v>
      </c>
      <c r="W343" s="10" t="s">
        <v>122</v>
      </c>
      <c r="X343" s="10" t="s">
        <v>123</v>
      </c>
      <c r="Y343" s="29">
        <v>1</v>
      </c>
      <c r="Z343" s="138" t="s">
        <v>680</v>
      </c>
      <c r="AA343" s="138">
        <v>44036</v>
      </c>
      <c r="AB343" s="9" t="s">
        <v>114</v>
      </c>
      <c r="AC343" s="9" t="s">
        <v>124</v>
      </c>
      <c r="AD343" s="15">
        <v>44651</v>
      </c>
      <c r="AE343" s="39" t="s">
        <v>125</v>
      </c>
      <c r="AF343" s="177">
        <v>6</v>
      </c>
      <c r="AG343" s="140">
        <v>0</v>
      </c>
      <c r="AH343" s="9">
        <v>0</v>
      </c>
      <c r="AI343" s="10" t="s">
        <v>126</v>
      </c>
      <c r="AJ343" s="10"/>
      <c r="AK343" s="29"/>
      <c r="AL343" s="12">
        <v>1.065753424657534</v>
      </c>
      <c r="AM343" s="10"/>
      <c r="AN343" s="12">
        <f>FAR[[#This Row],[Opening RUL]]+FAR[[#This Row],[RUL Adjustment]]</f>
        <v>1.065753424657534</v>
      </c>
      <c r="AO343" s="12">
        <f>FAR[[#This Row],[Opening RUL 30 June 2026]]-1</f>
        <v>6.5753424657533976E-2</v>
      </c>
      <c r="AP343" s="12" t="s">
        <v>1050</v>
      </c>
      <c r="AQ343" s="139"/>
      <c r="AR343" s="10" t="s">
        <v>127</v>
      </c>
      <c r="AS343" s="13">
        <v>1196</v>
      </c>
      <c r="AT343" s="13"/>
      <c r="AU343" s="13">
        <v>0</v>
      </c>
      <c r="AV343" s="13">
        <v>0</v>
      </c>
      <c r="AW343" s="13">
        <v>0</v>
      </c>
      <c r="AX343" s="13">
        <v>1196</v>
      </c>
      <c r="AY343" s="13">
        <v>178.23100594916173</v>
      </c>
      <c r="AZ343" s="13">
        <v>0</v>
      </c>
      <c r="BA343" s="13"/>
      <c r="BB343" s="13"/>
      <c r="BC343" s="13">
        <v>-1017.7689940508383</v>
      </c>
      <c r="BD343" s="13"/>
      <c r="BE343" s="13" t="s">
        <v>114</v>
      </c>
      <c r="BF343" s="29"/>
      <c r="BG343" s="13"/>
      <c r="BH343" s="13">
        <f>-FAR[[#This Row],[Carrying value (opening balance)]]/FAR[[#This Row],[Opening RUL 30 June 2026]]</f>
        <v>-167.23474851270964</v>
      </c>
      <c r="BI343" s="13">
        <f>FAR[[#This Row],[Depreciation YTD]]/12</f>
        <v>-13.936229042725804</v>
      </c>
      <c r="BJ343" s="13"/>
      <c r="BK343" s="13" t="s">
        <v>116</v>
      </c>
      <c r="BL343" s="13">
        <v>0</v>
      </c>
      <c r="BM343" s="13">
        <f>FAR[[#This Row],[Accumulated depreciation (Opening balance)]]+FAR[[#This Row],[Depreciation YTD]]+FAR[[#This Row],[Derecognitions (acc dep) '[+']]]</f>
        <v>-1185.0037425635478</v>
      </c>
      <c r="BN343" s="13"/>
      <c r="BO343" s="13"/>
      <c r="BP343" s="13"/>
      <c r="BQ343" s="13"/>
      <c r="BR34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43" s="13">
        <f>FAR[[#This Row],[Cost Price (closing balance)]]+FAR[[#This Row],[Accumulated depreciation (Closing balance)]]+FAR[[#This Row],[Accumulated impairments (Closing balance)]]</f>
        <v>10.996257436452197</v>
      </c>
      <c r="BT343" s="13"/>
      <c r="BU343" s="13"/>
      <c r="BV343" s="13"/>
      <c r="BW343" s="10" t="s">
        <v>167</v>
      </c>
      <c r="BX343" s="9" t="s">
        <v>168</v>
      </c>
      <c r="BY343" s="10"/>
      <c r="BZ343" t="s">
        <v>940</v>
      </c>
      <c r="CA343"/>
      <c r="CB343" s="34"/>
      <c r="CC343" s="34"/>
      <c r="CD343" s="34"/>
      <c r="CE343" s="141"/>
    </row>
    <row r="344" spans="1:83">
      <c r="A344" s="35">
        <v>1432</v>
      </c>
      <c r="B344" s="9" t="s">
        <v>854</v>
      </c>
      <c r="C344" s="9" t="s">
        <v>54</v>
      </c>
      <c r="D344" s="10" t="s">
        <v>1</v>
      </c>
      <c r="E344" s="9" t="s">
        <v>115</v>
      </c>
      <c r="F344" s="36" t="s">
        <v>99</v>
      </c>
      <c r="G344" s="9" t="s">
        <v>100</v>
      </c>
      <c r="H344" s="3" t="s">
        <v>623</v>
      </c>
      <c r="I344" s="9" t="s">
        <v>100</v>
      </c>
      <c r="J344" s="36" t="s">
        <v>101</v>
      </c>
      <c r="K344" s="10" t="s">
        <v>559</v>
      </c>
      <c r="L344" s="10" t="s">
        <v>559</v>
      </c>
      <c r="M344" s="9" t="s">
        <v>100</v>
      </c>
      <c r="N344" s="10" t="s">
        <v>653</v>
      </c>
      <c r="O344" s="9" t="s">
        <v>100</v>
      </c>
      <c r="P344" s="10"/>
      <c r="Q344" s="10" t="s">
        <v>653</v>
      </c>
      <c r="R344" s="10" t="s">
        <v>119</v>
      </c>
      <c r="S344" s="10" t="s">
        <v>130</v>
      </c>
      <c r="T344" s="10" t="s">
        <v>120</v>
      </c>
      <c r="U344" s="10" t="s">
        <v>101</v>
      </c>
      <c r="V344" s="10" t="s">
        <v>121</v>
      </c>
      <c r="W344" s="10" t="s">
        <v>122</v>
      </c>
      <c r="X344" s="10" t="s">
        <v>123</v>
      </c>
      <c r="Y344" s="29">
        <v>1</v>
      </c>
      <c r="Z344" s="138" t="s">
        <v>680</v>
      </c>
      <c r="AA344" s="138">
        <v>44036</v>
      </c>
      <c r="AB344" s="9" t="s">
        <v>114</v>
      </c>
      <c r="AC344" s="9" t="s">
        <v>124</v>
      </c>
      <c r="AD344" s="15">
        <v>44651</v>
      </c>
      <c r="AE344" s="39" t="s">
        <v>125</v>
      </c>
      <c r="AF344" s="177">
        <v>6</v>
      </c>
      <c r="AG344" s="140">
        <v>0</v>
      </c>
      <c r="AH344" s="9">
        <v>0</v>
      </c>
      <c r="AI344" s="10" t="s">
        <v>126</v>
      </c>
      <c r="AJ344" s="10"/>
      <c r="AK344" s="29"/>
      <c r="AL344" s="12">
        <v>1.065753424657534</v>
      </c>
      <c r="AM344" s="10"/>
      <c r="AN344" s="12">
        <f>FAR[[#This Row],[Opening RUL]]+FAR[[#This Row],[RUL Adjustment]]</f>
        <v>1.065753424657534</v>
      </c>
      <c r="AO344" s="12">
        <f>FAR[[#This Row],[Opening RUL 30 June 2026]]-1</f>
        <v>6.5753424657533976E-2</v>
      </c>
      <c r="AP344" s="12" t="s">
        <v>1050</v>
      </c>
      <c r="AQ344" s="139"/>
      <c r="AR344" s="10" t="s">
        <v>127</v>
      </c>
      <c r="AS344" s="13">
        <v>1196</v>
      </c>
      <c r="AT344" s="13"/>
      <c r="AU344" s="13">
        <v>0</v>
      </c>
      <c r="AV344" s="13">
        <v>0</v>
      </c>
      <c r="AW344" s="13">
        <v>0</v>
      </c>
      <c r="AX344" s="13">
        <v>1196</v>
      </c>
      <c r="AY344" s="13">
        <v>178.23100594916173</v>
      </c>
      <c r="AZ344" s="13">
        <v>0</v>
      </c>
      <c r="BA344" s="13"/>
      <c r="BB344" s="13"/>
      <c r="BC344" s="13">
        <v>-1017.7689940508383</v>
      </c>
      <c r="BD344" s="13"/>
      <c r="BE344" s="13" t="s">
        <v>114</v>
      </c>
      <c r="BF344" s="29"/>
      <c r="BG344" s="13"/>
      <c r="BH344" s="13">
        <f>-FAR[[#This Row],[Carrying value (opening balance)]]/FAR[[#This Row],[Opening RUL 30 June 2026]]</f>
        <v>-167.23474851270964</v>
      </c>
      <c r="BI344" s="13">
        <f>FAR[[#This Row],[Depreciation YTD]]/12</f>
        <v>-13.936229042725804</v>
      </c>
      <c r="BJ344" s="13"/>
      <c r="BK344" s="13" t="s">
        <v>116</v>
      </c>
      <c r="BL344" s="13">
        <v>0</v>
      </c>
      <c r="BM344" s="13">
        <f>FAR[[#This Row],[Accumulated depreciation (Opening balance)]]+FAR[[#This Row],[Depreciation YTD]]+FAR[[#This Row],[Derecognitions (acc dep) '[+']]]</f>
        <v>-1185.0037425635478</v>
      </c>
      <c r="BN344" s="13"/>
      <c r="BO344" s="13"/>
      <c r="BP344" s="13"/>
      <c r="BQ344" s="13"/>
      <c r="BR34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44" s="13">
        <f>FAR[[#This Row],[Cost Price (closing balance)]]+FAR[[#This Row],[Accumulated depreciation (Closing balance)]]+FAR[[#This Row],[Accumulated impairments (Closing balance)]]</f>
        <v>10.996257436452197</v>
      </c>
      <c r="BT344" s="13"/>
      <c r="BU344" s="13"/>
      <c r="BV344" s="13"/>
      <c r="BW344" s="10" t="s">
        <v>167</v>
      </c>
      <c r="BX344" s="9" t="s">
        <v>168</v>
      </c>
      <c r="BY344" s="10"/>
      <c r="BZ344" t="s">
        <v>938</v>
      </c>
      <c r="CA344"/>
      <c r="CB344" s="34"/>
      <c r="CC344" s="34"/>
      <c r="CD344" s="34"/>
      <c r="CE344" s="141"/>
    </row>
    <row r="345" spans="1:83">
      <c r="A345" s="35">
        <v>1433</v>
      </c>
      <c r="B345" s="9" t="s">
        <v>854</v>
      </c>
      <c r="C345" s="9" t="s">
        <v>54</v>
      </c>
      <c r="D345" s="10" t="s">
        <v>1</v>
      </c>
      <c r="E345" s="9" t="s">
        <v>115</v>
      </c>
      <c r="F345" s="36" t="s">
        <v>99</v>
      </c>
      <c r="G345" s="9" t="s">
        <v>100</v>
      </c>
      <c r="H345" s="3" t="s">
        <v>623</v>
      </c>
      <c r="I345" s="9" t="s">
        <v>100</v>
      </c>
      <c r="J345" s="36" t="s">
        <v>101</v>
      </c>
      <c r="K345" s="10" t="s">
        <v>559</v>
      </c>
      <c r="L345" s="10" t="s">
        <v>559</v>
      </c>
      <c r="M345" s="9" t="s">
        <v>100</v>
      </c>
      <c r="N345" s="10" t="s">
        <v>653</v>
      </c>
      <c r="O345" s="9" t="s">
        <v>100</v>
      </c>
      <c r="P345" s="10"/>
      <c r="Q345" s="10" t="s">
        <v>653</v>
      </c>
      <c r="R345" s="10" t="s">
        <v>119</v>
      </c>
      <c r="S345" s="10" t="s">
        <v>130</v>
      </c>
      <c r="T345" s="10" t="s">
        <v>120</v>
      </c>
      <c r="U345" s="10" t="s">
        <v>101</v>
      </c>
      <c r="V345" s="10" t="s">
        <v>121</v>
      </c>
      <c r="W345" s="10" t="s">
        <v>122</v>
      </c>
      <c r="X345" s="10" t="s">
        <v>123</v>
      </c>
      <c r="Y345" s="29">
        <v>1</v>
      </c>
      <c r="Z345" s="138" t="s">
        <v>680</v>
      </c>
      <c r="AA345" s="138">
        <v>44036</v>
      </c>
      <c r="AB345" s="9" t="s">
        <v>114</v>
      </c>
      <c r="AC345" s="9" t="s">
        <v>124</v>
      </c>
      <c r="AD345" s="15">
        <v>44651</v>
      </c>
      <c r="AE345" s="39" t="s">
        <v>125</v>
      </c>
      <c r="AF345" s="177">
        <v>6</v>
      </c>
      <c r="AG345" s="140">
        <v>0</v>
      </c>
      <c r="AH345" s="9">
        <v>0</v>
      </c>
      <c r="AI345" s="10" t="s">
        <v>126</v>
      </c>
      <c r="AJ345" s="10"/>
      <c r="AK345" s="29"/>
      <c r="AL345" s="12">
        <v>1.065753424657534</v>
      </c>
      <c r="AM345" s="10"/>
      <c r="AN345" s="12">
        <f>FAR[[#This Row],[Opening RUL]]+FAR[[#This Row],[RUL Adjustment]]</f>
        <v>1.065753424657534</v>
      </c>
      <c r="AO345" s="12">
        <f>FAR[[#This Row],[Opening RUL 30 June 2026]]-1</f>
        <v>6.5753424657533976E-2</v>
      </c>
      <c r="AP345" s="12" t="s">
        <v>1050</v>
      </c>
      <c r="AQ345" s="139"/>
      <c r="AR345" s="10" t="s">
        <v>127</v>
      </c>
      <c r="AS345" s="13">
        <v>1196</v>
      </c>
      <c r="AT345" s="13"/>
      <c r="AU345" s="13">
        <v>0</v>
      </c>
      <c r="AV345" s="13">
        <v>0</v>
      </c>
      <c r="AW345" s="13">
        <v>0</v>
      </c>
      <c r="AX345" s="13">
        <v>1196</v>
      </c>
      <c r="AY345" s="13">
        <v>178.23100594916173</v>
      </c>
      <c r="AZ345" s="13">
        <v>0</v>
      </c>
      <c r="BA345" s="13"/>
      <c r="BB345" s="13"/>
      <c r="BC345" s="13">
        <v>-1017.7689940508383</v>
      </c>
      <c r="BD345" s="13"/>
      <c r="BE345" s="13" t="s">
        <v>114</v>
      </c>
      <c r="BF345" s="29"/>
      <c r="BG345" s="13"/>
      <c r="BH345" s="13">
        <f>-FAR[[#This Row],[Carrying value (opening balance)]]/FAR[[#This Row],[Opening RUL 30 June 2026]]</f>
        <v>-167.23474851270964</v>
      </c>
      <c r="BI345" s="13">
        <f>FAR[[#This Row],[Depreciation YTD]]/12</f>
        <v>-13.936229042725804</v>
      </c>
      <c r="BJ345" s="13"/>
      <c r="BK345" s="13" t="s">
        <v>116</v>
      </c>
      <c r="BL345" s="13">
        <v>0</v>
      </c>
      <c r="BM345" s="13">
        <f>FAR[[#This Row],[Accumulated depreciation (Opening balance)]]+FAR[[#This Row],[Depreciation YTD]]+FAR[[#This Row],[Derecognitions (acc dep) '[+']]]</f>
        <v>-1185.0037425635478</v>
      </c>
      <c r="BN345" s="13"/>
      <c r="BO345" s="13"/>
      <c r="BP345" s="13"/>
      <c r="BQ345" s="13"/>
      <c r="BR34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45" s="13">
        <f>FAR[[#This Row],[Cost Price (closing balance)]]+FAR[[#This Row],[Accumulated depreciation (Closing balance)]]+FAR[[#This Row],[Accumulated impairments (Closing balance)]]</f>
        <v>10.996257436452197</v>
      </c>
      <c r="BT345" s="13"/>
      <c r="BU345" s="13"/>
      <c r="BV345" s="13"/>
      <c r="BW345" s="10" t="s">
        <v>167</v>
      </c>
      <c r="BX345" s="9" t="s">
        <v>168</v>
      </c>
      <c r="BY345" s="10"/>
      <c r="BZ345" t="s">
        <v>940</v>
      </c>
      <c r="CA345"/>
      <c r="CB345" s="34"/>
      <c r="CC345" s="34"/>
      <c r="CD345" s="34"/>
      <c r="CE345" s="141"/>
    </row>
    <row r="346" spans="1:83">
      <c r="A346" s="35">
        <v>1434</v>
      </c>
      <c r="B346" s="9" t="s">
        <v>854</v>
      </c>
      <c r="C346" s="9" t="s">
        <v>54</v>
      </c>
      <c r="D346" s="10" t="s">
        <v>1</v>
      </c>
      <c r="E346" s="9" t="s">
        <v>115</v>
      </c>
      <c r="F346" s="36" t="s">
        <v>99</v>
      </c>
      <c r="G346" s="9" t="s">
        <v>100</v>
      </c>
      <c r="H346" s="3" t="s">
        <v>623</v>
      </c>
      <c r="I346" s="9" t="s">
        <v>100</v>
      </c>
      <c r="J346" s="36" t="s">
        <v>101</v>
      </c>
      <c r="K346" s="10" t="s">
        <v>559</v>
      </c>
      <c r="L346" s="10" t="s">
        <v>559</v>
      </c>
      <c r="M346" s="9" t="s">
        <v>100</v>
      </c>
      <c r="N346" s="10" t="s">
        <v>653</v>
      </c>
      <c r="O346" s="9" t="s">
        <v>100</v>
      </c>
      <c r="P346" s="10"/>
      <c r="Q346" s="10" t="s">
        <v>653</v>
      </c>
      <c r="R346" s="10" t="s">
        <v>119</v>
      </c>
      <c r="S346" s="10" t="s">
        <v>130</v>
      </c>
      <c r="T346" s="10" t="s">
        <v>120</v>
      </c>
      <c r="U346" s="10" t="s">
        <v>101</v>
      </c>
      <c r="V346" s="10" t="s">
        <v>121</v>
      </c>
      <c r="W346" s="10" t="s">
        <v>122</v>
      </c>
      <c r="X346" s="10" t="s">
        <v>123</v>
      </c>
      <c r="Y346" s="29">
        <v>1</v>
      </c>
      <c r="Z346" s="138" t="s">
        <v>680</v>
      </c>
      <c r="AA346" s="138">
        <v>44036</v>
      </c>
      <c r="AB346" s="9" t="s">
        <v>114</v>
      </c>
      <c r="AC346" s="9" t="s">
        <v>124</v>
      </c>
      <c r="AD346" s="15">
        <v>44651</v>
      </c>
      <c r="AE346" s="39" t="s">
        <v>125</v>
      </c>
      <c r="AF346" s="177">
        <v>6</v>
      </c>
      <c r="AG346" s="140">
        <v>0</v>
      </c>
      <c r="AH346" s="9">
        <v>0</v>
      </c>
      <c r="AI346" s="10" t="s">
        <v>126</v>
      </c>
      <c r="AJ346" s="10"/>
      <c r="AK346" s="29"/>
      <c r="AL346" s="12">
        <v>1.065753424657534</v>
      </c>
      <c r="AM346" s="10"/>
      <c r="AN346" s="12">
        <f>FAR[[#This Row],[Opening RUL]]+FAR[[#This Row],[RUL Adjustment]]</f>
        <v>1.065753424657534</v>
      </c>
      <c r="AO346" s="12">
        <f>FAR[[#This Row],[Opening RUL 30 June 2026]]-1</f>
        <v>6.5753424657533976E-2</v>
      </c>
      <c r="AP346" s="12" t="s">
        <v>1050</v>
      </c>
      <c r="AQ346" s="139"/>
      <c r="AR346" s="10" t="s">
        <v>127</v>
      </c>
      <c r="AS346" s="13">
        <v>1196</v>
      </c>
      <c r="AT346" s="13"/>
      <c r="AU346" s="13">
        <v>0</v>
      </c>
      <c r="AV346" s="13">
        <v>0</v>
      </c>
      <c r="AW346" s="13">
        <v>0</v>
      </c>
      <c r="AX346" s="13">
        <v>1196</v>
      </c>
      <c r="AY346" s="13">
        <v>178.23100594916173</v>
      </c>
      <c r="AZ346" s="13">
        <v>0</v>
      </c>
      <c r="BA346" s="13"/>
      <c r="BB346" s="13"/>
      <c r="BC346" s="13">
        <v>-1017.7689940508383</v>
      </c>
      <c r="BD346" s="13"/>
      <c r="BE346" s="13" t="s">
        <v>114</v>
      </c>
      <c r="BF346" s="29"/>
      <c r="BG346" s="13"/>
      <c r="BH346" s="13">
        <f>-FAR[[#This Row],[Carrying value (opening balance)]]/FAR[[#This Row],[Opening RUL 30 June 2026]]</f>
        <v>-167.23474851270964</v>
      </c>
      <c r="BI346" s="13">
        <f>FAR[[#This Row],[Depreciation YTD]]/12</f>
        <v>-13.936229042725804</v>
      </c>
      <c r="BJ346" s="13"/>
      <c r="BK346" s="13" t="s">
        <v>116</v>
      </c>
      <c r="BL346" s="13">
        <v>0</v>
      </c>
      <c r="BM346" s="13">
        <f>FAR[[#This Row],[Accumulated depreciation (Opening balance)]]+FAR[[#This Row],[Depreciation YTD]]+FAR[[#This Row],[Derecognitions (acc dep) '[+']]]</f>
        <v>-1185.0037425635478</v>
      </c>
      <c r="BN346" s="13"/>
      <c r="BO346" s="13"/>
      <c r="BP346" s="13"/>
      <c r="BQ346" s="13"/>
      <c r="BR34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46" s="13">
        <f>FAR[[#This Row],[Cost Price (closing balance)]]+FAR[[#This Row],[Accumulated depreciation (Closing balance)]]+FAR[[#This Row],[Accumulated impairments (Closing balance)]]</f>
        <v>10.996257436452197</v>
      </c>
      <c r="BT346" s="13"/>
      <c r="BU346" s="13"/>
      <c r="BV346" s="13"/>
      <c r="BW346" s="10" t="s">
        <v>167</v>
      </c>
      <c r="BX346" s="9" t="s">
        <v>168</v>
      </c>
      <c r="BY346" s="10"/>
      <c r="BZ346" t="s">
        <v>940</v>
      </c>
      <c r="CA346"/>
      <c r="CB346" s="34"/>
      <c r="CC346" s="34"/>
      <c r="CD346" s="34"/>
      <c r="CE346" s="141"/>
    </row>
    <row r="347" spans="1:83">
      <c r="A347" s="35">
        <v>1435</v>
      </c>
      <c r="B347" s="9" t="s">
        <v>854</v>
      </c>
      <c r="C347" s="9" t="s">
        <v>54</v>
      </c>
      <c r="D347" s="10" t="s">
        <v>1</v>
      </c>
      <c r="E347" s="9" t="s">
        <v>115</v>
      </c>
      <c r="F347" s="36" t="s">
        <v>99</v>
      </c>
      <c r="G347" s="9" t="s">
        <v>100</v>
      </c>
      <c r="H347" s="3" t="s">
        <v>623</v>
      </c>
      <c r="I347" s="9" t="s">
        <v>100</v>
      </c>
      <c r="J347" s="36" t="s">
        <v>101</v>
      </c>
      <c r="K347" s="10" t="s">
        <v>559</v>
      </c>
      <c r="L347" s="10" t="s">
        <v>559</v>
      </c>
      <c r="M347" s="9" t="s">
        <v>100</v>
      </c>
      <c r="N347" s="10" t="s">
        <v>653</v>
      </c>
      <c r="O347" s="9" t="s">
        <v>100</v>
      </c>
      <c r="P347" s="10"/>
      <c r="Q347" s="10" t="s">
        <v>653</v>
      </c>
      <c r="R347" s="10" t="s">
        <v>119</v>
      </c>
      <c r="S347" s="10" t="s">
        <v>130</v>
      </c>
      <c r="T347" s="10" t="s">
        <v>120</v>
      </c>
      <c r="U347" s="10" t="s">
        <v>101</v>
      </c>
      <c r="V347" s="10" t="s">
        <v>121</v>
      </c>
      <c r="W347" s="10" t="s">
        <v>122</v>
      </c>
      <c r="X347" s="10" t="s">
        <v>123</v>
      </c>
      <c r="Y347" s="29">
        <v>1</v>
      </c>
      <c r="Z347" s="138" t="s">
        <v>680</v>
      </c>
      <c r="AA347" s="138">
        <v>44036</v>
      </c>
      <c r="AB347" s="9" t="s">
        <v>114</v>
      </c>
      <c r="AC347" s="9" t="s">
        <v>124</v>
      </c>
      <c r="AD347" s="15">
        <v>44651</v>
      </c>
      <c r="AE347" s="39" t="s">
        <v>125</v>
      </c>
      <c r="AF347" s="177">
        <v>6</v>
      </c>
      <c r="AG347" s="140">
        <v>0</v>
      </c>
      <c r="AH347" s="9">
        <v>0</v>
      </c>
      <c r="AI347" s="10" t="s">
        <v>126</v>
      </c>
      <c r="AJ347" s="10"/>
      <c r="AK347" s="29"/>
      <c r="AL347" s="12">
        <v>1.065753424657534</v>
      </c>
      <c r="AM347" s="10"/>
      <c r="AN347" s="12">
        <f>FAR[[#This Row],[Opening RUL]]+FAR[[#This Row],[RUL Adjustment]]</f>
        <v>1.065753424657534</v>
      </c>
      <c r="AO347" s="12">
        <f>FAR[[#This Row],[Opening RUL 30 June 2026]]-1</f>
        <v>6.5753424657533976E-2</v>
      </c>
      <c r="AP347" s="12" t="s">
        <v>1050</v>
      </c>
      <c r="AQ347" s="139"/>
      <c r="AR347" s="10" t="s">
        <v>127</v>
      </c>
      <c r="AS347" s="13">
        <v>1196</v>
      </c>
      <c r="AT347" s="13"/>
      <c r="AU347" s="13">
        <v>0</v>
      </c>
      <c r="AV347" s="13">
        <v>0</v>
      </c>
      <c r="AW347" s="13">
        <v>0</v>
      </c>
      <c r="AX347" s="13">
        <v>1196</v>
      </c>
      <c r="AY347" s="13">
        <v>178.23100594916173</v>
      </c>
      <c r="AZ347" s="13">
        <v>0</v>
      </c>
      <c r="BA347" s="13"/>
      <c r="BB347" s="13"/>
      <c r="BC347" s="13">
        <v>-1017.7689940508383</v>
      </c>
      <c r="BD347" s="13"/>
      <c r="BE347" s="13" t="s">
        <v>114</v>
      </c>
      <c r="BF347" s="29"/>
      <c r="BG347" s="13"/>
      <c r="BH347" s="13">
        <f>-FAR[[#This Row],[Carrying value (opening balance)]]/FAR[[#This Row],[Opening RUL 30 June 2026]]</f>
        <v>-167.23474851270964</v>
      </c>
      <c r="BI347" s="13">
        <f>FAR[[#This Row],[Depreciation YTD]]/12</f>
        <v>-13.936229042725804</v>
      </c>
      <c r="BJ347" s="13"/>
      <c r="BK347" s="13" t="s">
        <v>116</v>
      </c>
      <c r="BL347" s="13">
        <v>0</v>
      </c>
      <c r="BM347" s="13">
        <f>FAR[[#This Row],[Accumulated depreciation (Opening balance)]]+FAR[[#This Row],[Depreciation YTD]]+FAR[[#This Row],[Derecognitions (acc dep) '[+']]]</f>
        <v>-1185.0037425635478</v>
      </c>
      <c r="BN347" s="13"/>
      <c r="BO347" s="13"/>
      <c r="BP347" s="13"/>
      <c r="BQ347" s="13"/>
      <c r="BR34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47" s="13">
        <f>FAR[[#This Row],[Cost Price (closing balance)]]+FAR[[#This Row],[Accumulated depreciation (Closing balance)]]+FAR[[#This Row],[Accumulated impairments (Closing balance)]]</f>
        <v>10.996257436452197</v>
      </c>
      <c r="BT347" s="13"/>
      <c r="BU347" s="13"/>
      <c r="BV347" s="13"/>
      <c r="BW347" s="10" t="s">
        <v>167</v>
      </c>
      <c r="BX347" s="9" t="s">
        <v>168</v>
      </c>
      <c r="BY347" s="10"/>
      <c r="BZ347" t="s">
        <v>938</v>
      </c>
      <c r="CA347"/>
      <c r="CB347" s="34"/>
      <c r="CC347" s="34"/>
      <c r="CD347" s="34"/>
      <c r="CE347" s="141"/>
    </row>
    <row r="348" spans="1:83">
      <c r="A348" s="35">
        <v>1436</v>
      </c>
      <c r="B348" s="9" t="s">
        <v>854</v>
      </c>
      <c r="C348" s="9" t="s">
        <v>54</v>
      </c>
      <c r="D348" s="10" t="s">
        <v>1</v>
      </c>
      <c r="E348" s="9" t="s">
        <v>115</v>
      </c>
      <c r="F348" s="36" t="s">
        <v>99</v>
      </c>
      <c r="G348" s="9" t="s">
        <v>100</v>
      </c>
      <c r="H348" s="3" t="s">
        <v>623</v>
      </c>
      <c r="I348" s="9" t="s">
        <v>100</v>
      </c>
      <c r="J348" s="36" t="s">
        <v>101</v>
      </c>
      <c r="K348" s="10" t="s">
        <v>559</v>
      </c>
      <c r="L348" s="10" t="s">
        <v>559</v>
      </c>
      <c r="M348" s="9" t="s">
        <v>100</v>
      </c>
      <c r="N348" s="10" t="s">
        <v>653</v>
      </c>
      <c r="O348" s="9" t="s">
        <v>100</v>
      </c>
      <c r="P348" s="10"/>
      <c r="Q348" s="10" t="s">
        <v>653</v>
      </c>
      <c r="R348" s="10" t="s">
        <v>119</v>
      </c>
      <c r="S348" s="10" t="s">
        <v>130</v>
      </c>
      <c r="T348" s="10" t="s">
        <v>120</v>
      </c>
      <c r="U348" s="10" t="s">
        <v>101</v>
      </c>
      <c r="V348" s="10" t="s">
        <v>121</v>
      </c>
      <c r="W348" s="10" t="s">
        <v>122</v>
      </c>
      <c r="X348" s="10" t="s">
        <v>123</v>
      </c>
      <c r="Y348" s="29">
        <v>1</v>
      </c>
      <c r="Z348" s="138" t="s">
        <v>680</v>
      </c>
      <c r="AA348" s="138">
        <v>44036</v>
      </c>
      <c r="AB348" s="9" t="s">
        <v>114</v>
      </c>
      <c r="AC348" s="9" t="s">
        <v>124</v>
      </c>
      <c r="AD348" s="15">
        <v>44651</v>
      </c>
      <c r="AE348" s="39" t="s">
        <v>125</v>
      </c>
      <c r="AF348" s="177">
        <v>6</v>
      </c>
      <c r="AG348" s="140">
        <v>0</v>
      </c>
      <c r="AH348" s="9">
        <v>0</v>
      </c>
      <c r="AI348" s="10" t="s">
        <v>126</v>
      </c>
      <c r="AJ348" s="10"/>
      <c r="AK348" s="29"/>
      <c r="AL348" s="12">
        <v>1.065753424657534</v>
      </c>
      <c r="AM348" s="10"/>
      <c r="AN348" s="12">
        <f>FAR[[#This Row],[Opening RUL]]+FAR[[#This Row],[RUL Adjustment]]</f>
        <v>1.065753424657534</v>
      </c>
      <c r="AO348" s="12">
        <f>FAR[[#This Row],[Opening RUL 30 June 2026]]-1</f>
        <v>6.5753424657533976E-2</v>
      </c>
      <c r="AP348" s="12" t="s">
        <v>1050</v>
      </c>
      <c r="AQ348" s="139"/>
      <c r="AR348" s="10" t="s">
        <v>127</v>
      </c>
      <c r="AS348" s="13">
        <v>1196</v>
      </c>
      <c r="AT348" s="13"/>
      <c r="AU348" s="13">
        <v>0</v>
      </c>
      <c r="AV348" s="13">
        <v>0</v>
      </c>
      <c r="AW348" s="13">
        <v>0</v>
      </c>
      <c r="AX348" s="13">
        <v>1196</v>
      </c>
      <c r="AY348" s="13">
        <v>178.23100594916173</v>
      </c>
      <c r="AZ348" s="13">
        <v>0</v>
      </c>
      <c r="BA348" s="13"/>
      <c r="BB348" s="13"/>
      <c r="BC348" s="13">
        <v>-1017.7689940508383</v>
      </c>
      <c r="BD348" s="13"/>
      <c r="BE348" s="13" t="s">
        <v>114</v>
      </c>
      <c r="BF348" s="29"/>
      <c r="BG348" s="13"/>
      <c r="BH348" s="13">
        <f>-FAR[[#This Row],[Carrying value (opening balance)]]/FAR[[#This Row],[Opening RUL 30 June 2026]]</f>
        <v>-167.23474851270964</v>
      </c>
      <c r="BI348" s="13">
        <f>FAR[[#This Row],[Depreciation YTD]]/12</f>
        <v>-13.936229042725804</v>
      </c>
      <c r="BJ348" s="13"/>
      <c r="BK348" s="13" t="s">
        <v>116</v>
      </c>
      <c r="BL348" s="13">
        <v>0</v>
      </c>
      <c r="BM348" s="13">
        <f>FAR[[#This Row],[Accumulated depreciation (Opening balance)]]+FAR[[#This Row],[Depreciation YTD]]+FAR[[#This Row],[Derecognitions (acc dep) '[+']]]</f>
        <v>-1185.0037425635478</v>
      </c>
      <c r="BN348" s="13"/>
      <c r="BO348" s="13"/>
      <c r="BP348" s="13"/>
      <c r="BQ348" s="13"/>
      <c r="BR34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48" s="13">
        <f>FAR[[#This Row],[Cost Price (closing balance)]]+FAR[[#This Row],[Accumulated depreciation (Closing balance)]]+FAR[[#This Row],[Accumulated impairments (Closing balance)]]</f>
        <v>10.996257436452197</v>
      </c>
      <c r="BT348" s="13"/>
      <c r="BU348" s="13"/>
      <c r="BV348" s="13"/>
      <c r="BW348" s="10" t="s">
        <v>167</v>
      </c>
      <c r="BX348" s="9" t="s">
        <v>168</v>
      </c>
      <c r="BY348" s="10"/>
      <c r="BZ348" t="s">
        <v>940</v>
      </c>
      <c r="CA348"/>
      <c r="CB348" s="34"/>
      <c r="CC348" s="34"/>
      <c r="CD348" s="34"/>
      <c r="CE348" s="141"/>
    </row>
    <row r="349" spans="1:83">
      <c r="A349" s="35">
        <v>1505</v>
      </c>
      <c r="B349" s="9" t="s">
        <v>895</v>
      </c>
      <c r="C349" s="9" t="s">
        <v>54</v>
      </c>
      <c r="D349" s="10" t="s">
        <v>1</v>
      </c>
      <c r="E349" s="9" t="s">
        <v>115</v>
      </c>
      <c r="F349" s="36" t="s">
        <v>99</v>
      </c>
      <c r="G349" s="9" t="s">
        <v>100</v>
      </c>
      <c r="H349" s="3" t="s">
        <v>623</v>
      </c>
      <c r="I349" s="9" t="s">
        <v>100</v>
      </c>
      <c r="J349" s="36" t="s">
        <v>101</v>
      </c>
      <c r="K349" s="10" t="s">
        <v>559</v>
      </c>
      <c r="L349" s="10" t="s">
        <v>559</v>
      </c>
      <c r="M349" s="9" t="s">
        <v>100</v>
      </c>
      <c r="N349" s="10" t="s">
        <v>654</v>
      </c>
      <c r="O349" s="9" t="s">
        <v>100</v>
      </c>
      <c r="P349" s="10"/>
      <c r="Q349" s="10" t="s">
        <v>654</v>
      </c>
      <c r="R349" s="10" t="s">
        <v>119</v>
      </c>
      <c r="S349" s="10" t="s">
        <v>130</v>
      </c>
      <c r="T349" s="10" t="s">
        <v>120</v>
      </c>
      <c r="U349" s="10" t="s">
        <v>101</v>
      </c>
      <c r="V349" s="10" t="s">
        <v>121</v>
      </c>
      <c r="W349" s="10" t="s">
        <v>122</v>
      </c>
      <c r="X349" s="10" t="s">
        <v>123</v>
      </c>
      <c r="Y349" s="29">
        <v>1</v>
      </c>
      <c r="Z349" s="138" t="s">
        <v>597</v>
      </c>
      <c r="AA349" s="138">
        <v>44286</v>
      </c>
      <c r="AB349" s="9" t="s">
        <v>114</v>
      </c>
      <c r="AC349" s="9" t="s">
        <v>124</v>
      </c>
      <c r="AD349" s="15">
        <v>44651</v>
      </c>
      <c r="AE349" s="39" t="s">
        <v>125</v>
      </c>
      <c r="AF349" s="177">
        <v>6</v>
      </c>
      <c r="AG349" s="140">
        <v>0</v>
      </c>
      <c r="AH349" s="9">
        <v>0</v>
      </c>
      <c r="AI349" s="10" t="s">
        <v>126</v>
      </c>
      <c r="AJ349" s="10"/>
      <c r="AK349" s="29"/>
      <c r="AL349" s="12">
        <v>1.7506849315068491</v>
      </c>
      <c r="AM349" s="10"/>
      <c r="AN349" s="12">
        <f>FAR[[#This Row],[Opening RUL]]+FAR[[#This Row],[RUL Adjustment]]</f>
        <v>1.7506849315068491</v>
      </c>
      <c r="AO349" s="12">
        <f>FAR[[#This Row],[Opening RUL 30 June 2026]]-1</f>
        <v>0.75068493150684912</v>
      </c>
      <c r="AP349" s="12" t="s">
        <v>1050</v>
      </c>
      <c r="AQ349" s="139"/>
      <c r="AR349" s="10" t="s">
        <v>127</v>
      </c>
      <c r="AS349" s="13">
        <v>20500</v>
      </c>
      <c r="AT349" s="13"/>
      <c r="AU349" s="13">
        <v>0</v>
      </c>
      <c r="AV349" s="13">
        <v>0</v>
      </c>
      <c r="AW349" s="13">
        <v>0</v>
      </c>
      <c r="AX349" s="13">
        <v>20500</v>
      </c>
      <c r="AY349" s="13">
        <v>5114.0122868032395</v>
      </c>
      <c r="AZ349" s="13">
        <v>0</v>
      </c>
      <c r="BA349" s="13"/>
      <c r="BB349" s="13"/>
      <c r="BC349" s="13">
        <v>-15385.987713196761</v>
      </c>
      <c r="BD349" s="13"/>
      <c r="BE349" s="13" t="s">
        <v>114</v>
      </c>
      <c r="BF349" s="29"/>
      <c r="BG349" s="13"/>
      <c r="BH349" s="13">
        <f>-FAR[[#This Row],[Carrying value (opening balance)]]/FAR[[#This Row],[Opening RUL 30 June 2026]]</f>
        <v>-2921.1494282991903</v>
      </c>
      <c r="BI349" s="13">
        <f>FAR[[#This Row],[Depreciation YTD]]/12</f>
        <v>-243.42911902493253</v>
      </c>
      <c r="BJ349" s="13"/>
      <c r="BK349" s="13" t="s">
        <v>116</v>
      </c>
      <c r="BL349" s="13">
        <v>0</v>
      </c>
      <c r="BM349" s="13">
        <f>FAR[[#This Row],[Accumulated depreciation (Opening balance)]]+FAR[[#This Row],[Depreciation YTD]]+FAR[[#This Row],[Derecognitions (acc dep) '[+']]]</f>
        <v>-18307.13714149595</v>
      </c>
      <c r="BN349" s="13"/>
      <c r="BO349" s="13"/>
      <c r="BP349" s="13"/>
      <c r="BQ349" s="13"/>
      <c r="BR34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49" s="13">
        <f>FAR[[#This Row],[Cost Price (closing balance)]]+FAR[[#This Row],[Accumulated depreciation (Closing balance)]]+FAR[[#This Row],[Accumulated impairments (Closing balance)]]</f>
        <v>2192.8628585040497</v>
      </c>
      <c r="BT349" s="13"/>
      <c r="BU349" s="13"/>
      <c r="BV349" s="13"/>
      <c r="BW349" s="10" t="s">
        <v>167</v>
      </c>
      <c r="BX349" s="9" t="s">
        <v>168</v>
      </c>
      <c r="BY349" s="10"/>
      <c r="BZ349" t="s">
        <v>1024</v>
      </c>
      <c r="CA349"/>
      <c r="CB349" s="34"/>
      <c r="CC349" s="34"/>
      <c r="CD349" s="34"/>
      <c r="CE349" s="141"/>
    </row>
    <row r="350" spans="1:83">
      <c r="A350" s="35">
        <v>1601</v>
      </c>
      <c r="B350" s="9" t="s">
        <v>931</v>
      </c>
      <c r="C350" s="9" t="s">
        <v>54</v>
      </c>
      <c r="D350" s="10" t="s">
        <v>1</v>
      </c>
      <c r="E350" s="9" t="s">
        <v>115</v>
      </c>
      <c r="F350" s="36" t="s">
        <v>99</v>
      </c>
      <c r="G350" s="9" t="s">
        <v>100</v>
      </c>
      <c r="H350" s="3" t="s">
        <v>623</v>
      </c>
      <c r="I350" s="9" t="s">
        <v>100</v>
      </c>
      <c r="J350" s="36" t="s">
        <v>101</v>
      </c>
      <c r="K350" s="10" t="s">
        <v>559</v>
      </c>
      <c r="L350" s="10" t="s">
        <v>559</v>
      </c>
      <c r="M350" s="9" t="s">
        <v>100</v>
      </c>
      <c r="N350" s="10" t="s">
        <v>160</v>
      </c>
      <c r="O350" s="9" t="s">
        <v>100</v>
      </c>
      <c r="P350" s="10"/>
      <c r="Q350" s="10" t="s">
        <v>160</v>
      </c>
      <c r="R350" s="10" t="s">
        <v>119</v>
      </c>
      <c r="S350" s="10" t="s">
        <v>130</v>
      </c>
      <c r="T350" s="10" t="s">
        <v>120</v>
      </c>
      <c r="U350" s="10" t="s">
        <v>101</v>
      </c>
      <c r="V350" s="10" t="s">
        <v>121</v>
      </c>
      <c r="W350" s="10" t="s">
        <v>122</v>
      </c>
      <c r="X350" s="10" t="s">
        <v>123</v>
      </c>
      <c r="Y350" s="29">
        <v>1</v>
      </c>
      <c r="Z350" s="138" t="s">
        <v>681</v>
      </c>
      <c r="AA350" s="138">
        <v>44340</v>
      </c>
      <c r="AB350" s="9" t="s">
        <v>114</v>
      </c>
      <c r="AC350" s="9" t="s">
        <v>124</v>
      </c>
      <c r="AD350" s="15">
        <v>44651</v>
      </c>
      <c r="AE350" s="39" t="s">
        <v>125</v>
      </c>
      <c r="AF350" s="177">
        <v>6</v>
      </c>
      <c r="AG350" s="140">
        <v>0</v>
      </c>
      <c r="AH350" s="9">
        <v>0</v>
      </c>
      <c r="AI350" s="10" t="s">
        <v>126</v>
      </c>
      <c r="AJ350" s="10"/>
      <c r="AK350" s="29"/>
      <c r="AL350" s="12">
        <v>1.8986301369863012</v>
      </c>
      <c r="AM350" s="10"/>
      <c r="AN350" s="12">
        <f>FAR[[#This Row],[Opening RUL]]+FAR[[#This Row],[RUL Adjustment]]</f>
        <v>1.8986301369863012</v>
      </c>
      <c r="AO350" s="12">
        <f>FAR[[#This Row],[Opening RUL 30 June 2026]]-1</f>
        <v>0.89863013698630123</v>
      </c>
      <c r="AP350" s="12" t="s">
        <v>1050</v>
      </c>
      <c r="AQ350" s="139"/>
      <c r="AR350" s="10" t="s">
        <v>127</v>
      </c>
      <c r="AS350" s="109">
        <v>19997.5</v>
      </c>
      <c r="AT350" s="109"/>
      <c r="AU350" s="13">
        <v>0</v>
      </c>
      <c r="AV350" s="13">
        <v>0</v>
      </c>
      <c r="AW350" s="13">
        <v>0</v>
      </c>
      <c r="AX350" s="13">
        <v>19997.5</v>
      </c>
      <c r="AY350" s="13">
        <v>1124.5500000000002</v>
      </c>
      <c r="AZ350" s="13">
        <v>0</v>
      </c>
      <c r="BA350" s="13"/>
      <c r="BB350" s="13"/>
      <c r="BC350" s="13">
        <v>-13347.462552863841</v>
      </c>
      <c r="BD350" s="13"/>
      <c r="BE350" s="13" t="s">
        <v>114</v>
      </c>
      <c r="BF350" s="29"/>
      <c r="BG350" s="13"/>
      <c r="BH350" s="13">
        <f>-FAR[[#This Row],[Carrying value (opening balance)]]/FAR[[#This Row],[Opening RUL 30 June 2026]]</f>
        <v>-592.29545454545473</v>
      </c>
      <c r="BI350" s="13">
        <f>FAR[[#This Row],[Depreciation YTD]]/12</f>
        <v>-49.357954545454561</v>
      </c>
      <c r="BJ350" s="13"/>
      <c r="BK350" s="13" t="s">
        <v>116</v>
      </c>
      <c r="BL350" s="13">
        <v>0</v>
      </c>
      <c r="BM350" s="13">
        <f>FAR[[#This Row],[Accumulated depreciation (Opening balance)]]+FAR[[#This Row],[Depreciation YTD]]+FAR[[#This Row],[Derecognitions (acc dep) '[+']]]</f>
        <v>-13939.758007409295</v>
      </c>
      <c r="BN350" s="13">
        <v>-5525.4874471361591</v>
      </c>
      <c r="BO350" s="13">
        <v>0</v>
      </c>
      <c r="BP350" s="13"/>
      <c r="BQ350" s="13"/>
      <c r="BR350" s="13">
        <v>-5525.4874471361591</v>
      </c>
      <c r="BS350" s="13">
        <f>FAR[[#This Row],[Cost Price (closing balance)]]+FAR[[#This Row],[Accumulated depreciation (Closing balance)]]+FAR[[#This Row],[Accumulated impairments (Closing balance)]]</f>
        <v>532.25454545454613</v>
      </c>
      <c r="BT350" s="13"/>
      <c r="BU350" s="13"/>
      <c r="BV350" s="13"/>
      <c r="BW350" s="10" t="s">
        <v>167</v>
      </c>
      <c r="BX350" s="9" t="s">
        <v>168</v>
      </c>
      <c r="BY350" s="10"/>
      <c r="BZ350" t="s">
        <v>1016</v>
      </c>
      <c r="CA350"/>
      <c r="CB350" s="34"/>
      <c r="CC350" s="34"/>
      <c r="CD350" s="34"/>
      <c r="CE350" s="141"/>
    </row>
    <row r="351" spans="1:83">
      <c r="A351" s="35" t="s">
        <v>684</v>
      </c>
      <c r="B351" s="9">
        <v>0</v>
      </c>
      <c r="C351" s="9" t="s">
        <v>54</v>
      </c>
      <c r="D351" s="10" t="s">
        <v>1</v>
      </c>
      <c r="E351" s="9" t="s">
        <v>115</v>
      </c>
      <c r="F351" s="36" t="s">
        <v>99</v>
      </c>
      <c r="G351" s="9" t="s">
        <v>100</v>
      </c>
      <c r="H351" s="3" t="s">
        <v>103</v>
      </c>
      <c r="I351" s="9" t="s">
        <v>100</v>
      </c>
      <c r="J351" s="36" t="s">
        <v>101</v>
      </c>
      <c r="K351" s="10" t="s">
        <v>559</v>
      </c>
      <c r="L351" s="10" t="s">
        <v>559</v>
      </c>
      <c r="M351" s="9" t="s">
        <v>100</v>
      </c>
      <c r="N351" s="10" t="s">
        <v>713</v>
      </c>
      <c r="O351" s="9" t="s">
        <v>100</v>
      </c>
      <c r="P351" s="10"/>
      <c r="Q351" s="10" t="s">
        <v>713</v>
      </c>
      <c r="R351" s="10" t="s">
        <v>119</v>
      </c>
      <c r="S351" s="10" t="s">
        <v>130</v>
      </c>
      <c r="T351" s="10" t="s">
        <v>120</v>
      </c>
      <c r="U351" s="10" t="s">
        <v>101</v>
      </c>
      <c r="V351" s="10" t="s">
        <v>121</v>
      </c>
      <c r="W351" s="10" t="s">
        <v>122</v>
      </c>
      <c r="X351" s="10" t="s">
        <v>123</v>
      </c>
      <c r="Y351" s="29">
        <v>1</v>
      </c>
      <c r="Z351" s="138" t="s">
        <v>749</v>
      </c>
      <c r="AA351" s="138">
        <v>40407</v>
      </c>
      <c r="AB351" s="9" t="s">
        <v>114</v>
      </c>
      <c r="AC351" s="9" t="s">
        <v>124</v>
      </c>
      <c r="AD351" s="15">
        <v>44651</v>
      </c>
      <c r="AE351" s="39" t="s">
        <v>125</v>
      </c>
      <c r="AF351" s="177">
        <v>3</v>
      </c>
      <c r="AG351" s="140">
        <v>0</v>
      </c>
      <c r="AH351" s="9">
        <v>0</v>
      </c>
      <c r="AI351" s="10" t="s">
        <v>126</v>
      </c>
      <c r="AJ351" s="10"/>
      <c r="AK351" s="29"/>
      <c r="AL351" s="12">
        <v>1.5</v>
      </c>
      <c r="AM351" s="10"/>
      <c r="AN351" s="12">
        <f>FAR[[#This Row],[Opening RUL]]+FAR[[#This Row],[RUL Adjustment]]</f>
        <v>1.5</v>
      </c>
      <c r="AO351" s="12">
        <f>FAR[[#This Row],[Opening RUL 30 June 2026]]-1</f>
        <v>0.5</v>
      </c>
      <c r="AP351" s="12">
        <v>0</v>
      </c>
      <c r="AQ351" s="139"/>
      <c r="AR351" s="10" t="s">
        <v>127</v>
      </c>
      <c r="AS351" s="13">
        <v>1195.01</v>
      </c>
      <c r="AT351" s="13"/>
      <c r="AU351" s="13">
        <v>0</v>
      </c>
      <c r="AV351" s="13">
        <v>0</v>
      </c>
      <c r="AW351" s="13">
        <v>0</v>
      </c>
      <c r="AX351" s="13">
        <v>1195.01</v>
      </c>
      <c r="AY351" s="13">
        <v>51.214714285714308</v>
      </c>
      <c r="AZ351" s="13">
        <v>0</v>
      </c>
      <c r="BA351" s="13"/>
      <c r="BB351" s="13"/>
      <c r="BC351" s="13">
        <v>-1143.7952857142857</v>
      </c>
      <c r="BD351" s="13"/>
      <c r="BE351" s="13" t="s">
        <v>114</v>
      </c>
      <c r="BF351" s="29"/>
      <c r="BG351" s="13"/>
      <c r="BH351" s="13">
        <f>-FAR[[#This Row],[Carrying value (opening balance)]]/FAR[[#This Row],[Opening RUL 30 June 2026]]</f>
        <v>-34.14314285714287</v>
      </c>
      <c r="BI351" s="13">
        <f>FAR[[#This Row],[Depreciation YTD]]/12</f>
        <v>-2.8452619047619057</v>
      </c>
      <c r="BJ351" s="13"/>
      <c r="BK351" s="13" t="s">
        <v>116</v>
      </c>
      <c r="BL351" s="13">
        <v>0</v>
      </c>
      <c r="BM351" s="13">
        <f>FAR[[#This Row],[Accumulated depreciation (Opening balance)]]+FAR[[#This Row],[Depreciation YTD]]+FAR[[#This Row],[Derecognitions (acc dep) '[+']]]</f>
        <v>-1177.9384285714286</v>
      </c>
      <c r="BN351" s="13"/>
      <c r="BO351" s="13"/>
      <c r="BP351" s="13"/>
      <c r="BQ351" s="13"/>
      <c r="BR35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51" s="13">
        <f>FAR[[#This Row],[Cost Price (closing balance)]]+FAR[[#This Row],[Accumulated depreciation (Closing balance)]]+FAR[[#This Row],[Accumulated impairments (Closing balance)]]</f>
        <v>17.07157142857136</v>
      </c>
      <c r="BT351" s="13"/>
      <c r="BU351" s="13"/>
      <c r="BV351" s="13"/>
      <c r="BW351" s="10" t="s">
        <v>167</v>
      </c>
      <c r="BX351" s="9" t="s">
        <v>168</v>
      </c>
      <c r="BY351" s="10"/>
      <c r="BZ351">
        <v>0</v>
      </c>
      <c r="CA351"/>
      <c r="CB351" s="34"/>
      <c r="CC351" s="34"/>
      <c r="CD351" s="34"/>
      <c r="CE351" s="141"/>
    </row>
    <row r="352" spans="1:83">
      <c r="A352" s="35" t="s">
        <v>685</v>
      </c>
      <c r="B352" s="9" t="s">
        <v>920</v>
      </c>
      <c r="C352" s="9" t="s">
        <v>54</v>
      </c>
      <c r="D352" s="10" t="s">
        <v>1</v>
      </c>
      <c r="E352" s="9" t="s">
        <v>115</v>
      </c>
      <c r="F352" s="36" t="s">
        <v>99</v>
      </c>
      <c r="G352" s="9" t="s">
        <v>100</v>
      </c>
      <c r="H352" s="3" t="s">
        <v>103</v>
      </c>
      <c r="I352" s="9" t="s">
        <v>100</v>
      </c>
      <c r="J352" s="36" t="s">
        <v>101</v>
      </c>
      <c r="K352" s="10" t="s">
        <v>559</v>
      </c>
      <c r="L352" s="10" t="s">
        <v>559</v>
      </c>
      <c r="M352" s="9" t="s">
        <v>100</v>
      </c>
      <c r="N352" s="10" t="s">
        <v>714</v>
      </c>
      <c r="O352" s="9" t="s">
        <v>100</v>
      </c>
      <c r="P352" s="10"/>
      <c r="Q352" s="10" t="s">
        <v>714</v>
      </c>
      <c r="R352" s="10" t="s">
        <v>119</v>
      </c>
      <c r="S352" s="10" t="s">
        <v>130</v>
      </c>
      <c r="T352" s="10" t="s">
        <v>120</v>
      </c>
      <c r="U352" s="10" t="s">
        <v>101</v>
      </c>
      <c r="V352" s="10" t="s">
        <v>121</v>
      </c>
      <c r="W352" s="10" t="s">
        <v>122</v>
      </c>
      <c r="X352" s="10" t="s">
        <v>123</v>
      </c>
      <c r="Y352" s="29">
        <v>1</v>
      </c>
      <c r="Z352" s="138" t="s">
        <v>750</v>
      </c>
      <c r="AA352" s="138">
        <v>40729</v>
      </c>
      <c r="AB352" s="9" t="s">
        <v>114</v>
      </c>
      <c r="AC352" s="9" t="s">
        <v>124</v>
      </c>
      <c r="AD352" s="15">
        <v>44651</v>
      </c>
      <c r="AE352" s="39" t="s">
        <v>125</v>
      </c>
      <c r="AF352" s="177">
        <v>3</v>
      </c>
      <c r="AG352" s="140">
        <v>0</v>
      </c>
      <c r="AH352" s="9">
        <v>0</v>
      </c>
      <c r="AI352" s="10" t="s">
        <v>126</v>
      </c>
      <c r="AJ352" s="10"/>
      <c r="AK352" s="29"/>
      <c r="AL352" s="12">
        <v>1.5</v>
      </c>
      <c r="AM352" s="10"/>
      <c r="AN352" s="12">
        <f>FAR[[#This Row],[Opening RUL]]+FAR[[#This Row],[RUL Adjustment]]</f>
        <v>1.5</v>
      </c>
      <c r="AO352" s="12">
        <f>FAR[[#This Row],[Opening RUL 30 June 2026]]-1</f>
        <v>0.5</v>
      </c>
      <c r="AP352" s="12" t="s">
        <v>1050</v>
      </c>
      <c r="AQ352" s="139"/>
      <c r="AR352" s="10" t="s">
        <v>127</v>
      </c>
      <c r="AS352" s="13">
        <v>8550</v>
      </c>
      <c r="AT352" s="13"/>
      <c r="AU352" s="13">
        <v>0</v>
      </c>
      <c r="AV352" s="13">
        <v>0</v>
      </c>
      <c r="AW352" s="13">
        <v>0</v>
      </c>
      <c r="AX352" s="13">
        <v>8550</v>
      </c>
      <c r="AY352" s="13">
        <v>366.42857142857156</v>
      </c>
      <c r="AZ352" s="13">
        <v>0</v>
      </c>
      <c r="BA352" s="13"/>
      <c r="BB352" s="13"/>
      <c r="BC352" s="13">
        <v>-8183.5714285714284</v>
      </c>
      <c r="BD352" s="13"/>
      <c r="BE352" s="13" t="s">
        <v>114</v>
      </c>
      <c r="BF352" s="29"/>
      <c r="BG352" s="13"/>
      <c r="BH352" s="13">
        <f>-FAR[[#This Row],[Carrying value (opening balance)]]/FAR[[#This Row],[Opening RUL 30 June 2026]]</f>
        <v>-244.28571428571436</v>
      </c>
      <c r="BI352" s="13">
        <f>FAR[[#This Row],[Depreciation YTD]]/12</f>
        <v>-20.357142857142865</v>
      </c>
      <c r="BJ352" s="13"/>
      <c r="BK352" s="13" t="s">
        <v>116</v>
      </c>
      <c r="BL352" s="13">
        <v>0</v>
      </c>
      <c r="BM352" s="13">
        <f>FAR[[#This Row],[Accumulated depreciation (Opening balance)]]+FAR[[#This Row],[Depreciation YTD]]+FAR[[#This Row],[Derecognitions (acc dep) '[+']]]</f>
        <v>-8427.8571428571431</v>
      </c>
      <c r="BN352" s="13"/>
      <c r="BO352" s="13"/>
      <c r="BP352" s="13"/>
      <c r="BQ352" s="13"/>
      <c r="BR35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52" s="13">
        <f>FAR[[#This Row],[Cost Price (closing balance)]]+FAR[[#This Row],[Accumulated depreciation (Closing balance)]]+FAR[[#This Row],[Accumulated impairments (Closing balance)]]</f>
        <v>122.14285714285688</v>
      </c>
      <c r="BT352" s="13"/>
      <c r="BU352" s="13"/>
      <c r="BV352" s="13"/>
      <c r="BW352" s="10" t="s">
        <v>167</v>
      </c>
      <c r="BX352" s="9" t="s">
        <v>168</v>
      </c>
      <c r="BY352" s="10"/>
      <c r="BZ352" t="s">
        <v>1023</v>
      </c>
      <c r="CA352"/>
      <c r="CB352" s="34"/>
      <c r="CC352" s="34"/>
      <c r="CD352" s="34"/>
      <c r="CE352" s="141"/>
    </row>
    <row r="353" spans="1:83">
      <c r="A353" s="35" t="s">
        <v>686</v>
      </c>
      <c r="B353" s="9" t="s">
        <v>919</v>
      </c>
      <c r="C353" s="9" t="s">
        <v>54</v>
      </c>
      <c r="D353" s="10" t="s">
        <v>1</v>
      </c>
      <c r="E353" s="9" t="s">
        <v>115</v>
      </c>
      <c r="F353" s="36" t="s">
        <v>99</v>
      </c>
      <c r="G353" s="9" t="s">
        <v>100</v>
      </c>
      <c r="H353" s="3" t="s">
        <v>103</v>
      </c>
      <c r="I353" s="9" t="s">
        <v>100</v>
      </c>
      <c r="J353" s="36" t="s">
        <v>101</v>
      </c>
      <c r="K353" s="10" t="s">
        <v>559</v>
      </c>
      <c r="L353" s="10" t="s">
        <v>559</v>
      </c>
      <c r="M353" s="9" t="s">
        <v>100</v>
      </c>
      <c r="N353" s="10" t="s">
        <v>716</v>
      </c>
      <c r="O353" s="9" t="s">
        <v>100</v>
      </c>
      <c r="P353" s="10"/>
      <c r="Q353" s="10" t="s">
        <v>716</v>
      </c>
      <c r="R353" s="10" t="s">
        <v>119</v>
      </c>
      <c r="S353" s="10" t="s">
        <v>130</v>
      </c>
      <c r="T353" s="10" t="s">
        <v>120</v>
      </c>
      <c r="U353" s="10" t="s">
        <v>101</v>
      </c>
      <c r="V353" s="10" t="s">
        <v>121</v>
      </c>
      <c r="W353" s="10" t="s">
        <v>122</v>
      </c>
      <c r="X353" s="10" t="s">
        <v>123</v>
      </c>
      <c r="Y353" s="29">
        <v>1</v>
      </c>
      <c r="Z353" s="138" t="s">
        <v>751</v>
      </c>
      <c r="AA353" s="138">
        <v>41941</v>
      </c>
      <c r="AB353" s="9" t="s">
        <v>114</v>
      </c>
      <c r="AC353" s="9" t="s">
        <v>124</v>
      </c>
      <c r="AD353" s="15">
        <v>44651</v>
      </c>
      <c r="AE353" s="39" t="s">
        <v>125</v>
      </c>
      <c r="AF353" s="177">
        <v>3</v>
      </c>
      <c r="AG353" s="140">
        <v>0</v>
      </c>
      <c r="AH353" s="9">
        <v>0</v>
      </c>
      <c r="AI353" s="10" t="s">
        <v>126</v>
      </c>
      <c r="AJ353" s="10"/>
      <c r="AK353" s="29"/>
      <c r="AL353" s="12">
        <v>1.5</v>
      </c>
      <c r="AM353" s="10"/>
      <c r="AN353" s="12">
        <f>FAR[[#This Row],[Opening RUL]]+FAR[[#This Row],[RUL Adjustment]]</f>
        <v>1.5</v>
      </c>
      <c r="AO353" s="12">
        <f>FAR[[#This Row],[Opening RUL 30 June 2026]]-1</f>
        <v>0.5</v>
      </c>
      <c r="AP353" s="12" t="s">
        <v>1050</v>
      </c>
      <c r="AQ353" s="139"/>
      <c r="AR353" s="10" t="s">
        <v>127</v>
      </c>
      <c r="AS353" s="13">
        <v>32985.99</v>
      </c>
      <c r="AT353" s="13"/>
      <c r="AU353" s="13">
        <v>0</v>
      </c>
      <c r="AV353" s="13">
        <v>0</v>
      </c>
      <c r="AW353" s="13">
        <v>0</v>
      </c>
      <c r="AX353" s="13">
        <v>32985.99</v>
      </c>
      <c r="AY353" s="13">
        <v>1413.6852857142876</v>
      </c>
      <c r="AZ353" s="13">
        <v>0</v>
      </c>
      <c r="BA353" s="13"/>
      <c r="BB353" s="13"/>
      <c r="BC353" s="13">
        <v>-31572.30471428571</v>
      </c>
      <c r="BD353" s="13"/>
      <c r="BE353" s="13" t="s">
        <v>114</v>
      </c>
      <c r="BF353" s="29"/>
      <c r="BG353" s="13"/>
      <c r="BH353" s="13">
        <f>-FAR[[#This Row],[Carrying value (opening balance)]]/FAR[[#This Row],[Opening RUL 30 June 2026]]</f>
        <v>-942.45685714285844</v>
      </c>
      <c r="BI353" s="13">
        <f>FAR[[#This Row],[Depreciation YTD]]/12</f>
        <v>-78.538071428571541</v>
      </c>
      <c r="BJ353" s="13"/>
      <c r="BK353" s="13" t="s">
        <v>116</v>
      </c>
      <c r="BL353" s="13">
        <v>0</v>
      </c>
      <c r="BM353" s="13">
        <f>FAR[[#This Row],[Accumulated depreciation (Opening balance)]]+FAR[[#This Row],[Depreciation YTD]]+FAR[[#This Row],[Derecognitions (acc dep) '[+']]]</f>
        <v>-32514.761571428568</v>
      </c>
      <c r="BN353" s="13"/>
      <c r="BO353" s="13"/>
      <c r="BP353" s="13"/>
      <c r="BQ353" s="13"/>
      <c r="BR35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53" s="13">
        <f>FAR[[#This Row],[Cost Price (closing balance)]]+FAR[[#This Row],[Accumulated depreciation (Closing balance)]]+FAR[[#This Row],[Accumulated impairments (Closing balance)]]</f>
        <v>471.22842857143041</v>
      </c>
      <c r="BT353" s="13"/>
      <c r="BU353" s="13"/>
      <c r="BV353" s="13"/>
      <c r="BW353" s="10" t="s">
        <v>167</v>
      </c>
      <c r="BX353" s="9" t="s">
        <v>168</v>
      </c>
      <c r="BY353" s="10"/>
      <c r="BZ353" t="s">
        <v>1025</v>
      </c>
      <c r="CA353"/>
      <c r="CB353" s="34"/>
      <c r="CC353" s="34"/>
      <c r="CD353" s="34"/>
      <c r="CE353" s="141"/>
    </row>
    <row r="354" spans="1:83">
      <c r="A354" s="35" t="s">
        <v>687</v>
      </c>
      <c r="B354" s="9" t="s">
        <v>921</v>
      </c>
      <c r="C354" s="9" t="s">
        <v>54</v>
      </c>
      <c r="D354" s="10" t="s">
        <v>1</v>
      </c>
      <c r="E354" s="9" t="s">
        <v>115</v>
      </c>
      <c r="F354" s="36" t="s">
        <v>99</v>
      </c>
      <c r="G354" s="9" t="s">
        <v>100</v>
      </c>
      <c r="H354" s="3" t="s">
        <v>103</v>
      </c>
      <c r="I354" s="9" t="s">
        <v>100</v>
      </c>
      <c r="J354" s="36" t="s">
        <v>101</v>
      </c>
      <c r="K354" s="10" t="s">
        <v>559</v>
      </c>
      <c r="L354" s="10" t="s">
        <v>559</v>
      </c>
      <c r="M354" s="9" t="s">
        <v>100</v>
      </c>
      <c r="N354" s="10" t="s">
        <v>717</v>
      </c>
      <c r="O354" s="9" t="s">
        <v>100</v>
      </c>
      <c r="P354" s="10"/>
      <c r="Q354" s="10" t="s">
        <v>717</v>
      </c>
      <c r="R354" s="10" t="s">
        <v>119</v>
      </c>
      <c r="S354" s="10" t="s">
        <v>130</v>
      </c>
      <c r="T354" s="10" t="s">
        <v>120</v>
      </c>
      <c r="U354" s="10" t="s">
        <v>101</v>
      </c>
      <c r="V354" s="10" t="s">
        <v>121</v>
      </c>
      <c r="W354" s="10" t="s">
        <v>122</v>
      </c>
      <c r="X354" s="10" t="s">
        <v>123</v>
      </c>
      <c r="Y354" s="29">
        <v>1</v>
      </c>
      <c r="Z354" s="138" t="s">
        <v>752</v>
      </c>
      <c r="AA354" s="138">
        <v>41983</v>
      </c>
      <c r="AB354" s="9" t="s">
        <v>114</v>
      </c>
      <c r="AC354" s="9" t="s">
        <v>124</v>
      </c>
      <c r="AD354" s="15">
        <v>44651</v>
      </c>
      <c r="AE354" s="39" t="s">
        <v>125</v>
      </c>
      <c r="AF354" s="177">
        <v>3</v>
      </c>
      <c r="AG354" s="140">
        <v>0</v>
      </c>
      <c r="AH354" s="9">
        <v>0</v>
      </c>
      <c r="AI354" s="10" t="s">
        <v>126</v>
      </c>
      <c r="AJ354" s="10"/>
      <c r="AK354" s="29"/>
      <c r="AL354" s="12">
        <v>1.5</v>
      </c>
      <c r="AM354" s="10"/>
      <c r="AN354" s="12">
        <f>FAR[[#This Row],[Opening RUL]]+FAR[[#This Row],[RUL Adjustment]]</f>
        <v>1.5</v>
      </c>
      <c r="AO354" s="12">
        <f>FAR[[#This Row],[Opening RUL 30 June 2026]]-1</f>
        <v>0.5</v>
      </c>
      <c r="AP354" s="12" t="s">
        <v>1050</v>
      </c>
      <c r="AQ354" s="139"/>
      <c r="AR354" s="10" t="s">
        <v>127</v>
      </c>
      <c r="AS354" s="13">
        <v>8055</v>
      </c>
      <c r="AT354" s="13"/>
      <c r="AU354" s="13">
        <v>0</v>
      </c>
      <c r="AV354" s="13">
        <v>0</v>
      </c>
      <c r="AW354" s="13">
        <v>0</v>
      </c>
      <c r="AX354" s="13">
        <v>8055</v>
      </c>
      <c r="AY354" s="13">
        <v>345.21428571428623</v>
      </c>
      <c r="AZ354" s="13">
        <v>0</v>
      </c>
      <c r="BA354" s="13"/>
      <c r="BB354" s="13"/>
      <c r="BC354" s="13">
        <v>-7709.7857142857138</v>
      </c>
      <c r="BD354" s="13"/>
      <c r="BE354" s="13" t="s">
        <v>114</v>
      </c>
      <c r="BF354" s="29"/>
      <c r="BG354" s="13"/>
      <c r="BH354" s="13">
        <f>-FAR[[#This Row],[Carrying value (opening balance)]]/FAR[[#This Row],[Opening RUL 30 June 2026]]</f>
        <v>-230.14285714285748</v>
      </c>
      <c r="BI354" s="13">
        <f>FAR[[#This Row],[Depreciation YTD]]/12</f>
        <v>-19.178571428571455</v>
      </c>
      <c r="BJ354" s="13"/>
      <c r="BK354" s="13" t="s">
        <v>116</v>
      </c>
      <c r="BL354" s="13">
        <v>0</v>
      </c>
      <c r="BM354" s="13">
        <f>FAR[[#This Row],[Accumulated depreciation (Opening balance)]]+FAR[[#This Row],[Depreciation YTD]]+FAR[[#This Row],[Derecognitions (acc dep) '[+']]]</f>
        <v>-7939.9285714285716</v>
      </c>
      <c r="BN354" s="13"/>
      <c r="BO354" s="13"/>
      <c r="BP354" s="13"/>
      <c r="BQ354" s="13"/>
      <c r="BR35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54" s="13">
        <f>FAR[[#This Row],[Cost Price (closing balance)]]+FAR[[#This Row],[Accumulated depreciation (Closing balance)]]+FAR[[#This Row],[Accumulated impairments (Closing balance)]]</f>
        <v>115.07142857142844</v>
      </c>
      <c r="BT354" s="13"/>
      <c r="BU354" s="13"/>
      <c r="BV354" s="13"/>
      <c r="BW354" s="10" t="s">
        <v>167</v>
      </c>
      <c r="BX354" s="9" t="s">
        <v>168</v>
      </c>
      <c r="BY354" s="10"/>
      <c r="BZ354" t="s">
        <v>1023</v>
      </c>
      <c r="CA354"/>
      <c r="CB354" s="34"/>
      <c r="CC354" s="34"/>
      <c r="CD354" s="34"/>
      <c r="CE354" s="141"/>
    </row>
    <row r="355" spans="1:83">
      <c r="A355" s="35" t="s">
        <v>688</v>
      </c>
      <c r="B355" s="9" t="s">
        <v>867</v>
      </c>
      <c r="C355" s="9" t="s">
        <v>54</v>
      </c>
      <c r="D355" s="10" t="s">
        <v>1</v>
      </c>
      <c r="E355" s="9" t="s">
        <v>115</v>
      </c>
      <c r="F355" s="36" t="s">
        <v>99</v>
      </c>
      <c r="G355" s="9" t="s">
        <v>100</v>
      </c>
      <c r="H355" s="3" t="s">
        <v>103</v>
      </c>
      <c r="I355" s="9" t="s">
        <v>100</v>
      </c>
      <c r="J355" s="36" t="s">
        <v>101</v>
      </c>
      <c r="K355" s="10" t="s">
        <v>559</v>
      </c>
      <c r="L355" s="10" t="s">
        <v>559</v>
      </c>
      <c r="M355" s="9" t="s">
        <v>100</v>
      </c>
      <c r="N355" s="10" t="s">
        <v>718</v>
      </c>
      <c r="O355" s="9" t="s">
        <v>100</v>
      </c>
      <c r="P355" s="10"/>
      <c r="Q355" s="10" t="s">
        <v>718</v>
      </c>
      <c r="R355" s="10" t="s">
        <v>119</v>
      </c>
      <c r="S355" s="10" t="s">
        <v>130</v>
      </c>
      <c r="T355" s="10" t="s">
        <v>120</v>
      </c>
      <c r="U355" s="10" t="s">
        <v>101</v>
      </c>
      <c r="V355" s="10" t="s">
        <v>121</v>
      </c>
      <c r="W355" s="10" t="s">
        <v>122</v>
      </c>
      <c r="X355" s="10" t="s">
        <v>123</v>
      </c>
      <c r="Y355" s="29">
        <v>1</v>
      </c>
      <c r="Z355" s="138" t="s">
        <v>753</v>
      </c>
      <c r="AA355" s="138">
        <v>42235</v>
      </c>
      <c r="AB355" s="9" t="s">
        <v>114</v>
      </c>
      <c r="AC355" s="9" t="s">
        <v>124</v>
      </c>
      <c r="AD355" s="15">
        <v>44651</v>
      </c>
      <c r="AE355" s="39" t="s">
        <v>125</v>
      </c>
      <c r="AF355" s="177">
        <v>3</v>
      </c>
      <c r="AG355" s="140">
        <v>0</v>
      </c>
      <c r="AH355" s="9">
        <v>0</v>
      </c>
      <c r="AI355" s="10" t="s">
        <v>126</v>
      </c>
      <c r="AJ355" s="10"/>
      <c r="AK355" s="29"/>
      <c r="AL355" s="12">
        <v>1.5</v>
      </c>
      <c r="AM355" s="10"/>
      <c r="AN355" s="12">
        <f>FAR[[#This Row],[Opening RUL]]+FAR[[#This Row],[RUL Adjustment]]</f>
        <v>1.5</v>
      </c>
      <c r="AO355" s="12">
        <f>FAR[[#This Row],[Opening RUL 30 June 2026]]-1</f>
        <v>0.5</v>
      </c>
      <c r="AP355" s="12" t="s">
        <v>1050</v>
      </c>
      <c r="AQ355" s="139"/>
      <c r="AR355" s="10" t="s">
        <v>127</v>
      </c>
      <c r="AS355" s="13">
        <v>19699</v>
      </c>
      <c r="AT355" s="13"/>
      <c r="AU355" s="13">
        <v>0</v>
      </c>
      <c r="AV355" s="13">
        <v>0</v>
      </c>
      <c r="AW355" s="13">
        <v>0</v>
      </c>
      <c r="AX355" s="13">
        <v>19699</v>
      </c>
      <c r="AY355" s="13">
        <v>844.24285714285725</v>
      </c>
      <c r="AZ355" s="13">
        <v>0</v>
      </c>
      <c r="BA355" s="13"/>
      <c r="BB355" s="13"/>
      <c r="BC355" s="13">
        <v>-18854.757142857143</v>
      </c>
      <c r="BD355" s="13"/>
      <c r="BE355" s="13" t="s">
        <v>114</v>
      </c>
      <c r="BF355" s="29"/>
      <c r="BG355" s="13"/>
      <c r="BH355" s="13">
        <f>-FAR[[#This Row],[Carrying value (opening balance)]]/FAR[[#This Row],[Opening RUL 30 June 2026]]</f>
        <v>-562.82857142857154</v>
      </c>
      <c r="BI355" s="13">
        <f>FAR[[#This Row],[Depreciation YTD]]/12</f>
        <v>-46.902380952380959</v>
      </c>
      <c r="BJ355" s="13"/>
      <c r="BK355" s="13" t="s">
        <v>116</v>
      </c>
      <c r="BL355" s="13">
        <v>0</v>
      </c>
      <c r="BM355" s="13">
        <f>FAR[[#This Row],[Accumulated depreciation (Opening balance)]]+FAR[[#This Row],[Depreciation YTD]]+FAR[[#This Row],[Derecognitions (acc dep) '[+']]]</f>
        <v>-19417.585714285713</v>
      </c>
      <c r="BN355" s="13"/>
      <c r="BO355" s="13"/>
      <c r="BP355" s="13"/>
      <c r="BQ355" s="13"/>
      <c r="BR35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55" s="13">
        <f>FAR[[#This Row],[Cost Price (closing balance)]]+FAR[[#This Row],[Accumulated depreciation (Closing balance)]]+FAR[[#This Row],[Accumulated impairments (Closing balance)]]</f>
        <v>281.41428571428696</v>
      </c>
      <c r="BT355" s="13"/>
      <c r="BU355" s="13"/>
      <c r="BV355" s="13"/>
      <c r="BW355" s="10" t="s">
        <v>167</v>
      </c>
      <c r="BX355" s="9" t="s">
        <v>168</v>
      </c>
      <c r="BY355" s="10"/>
      <c r="BZ355" t="s">
        <v>1026</v>
      </c>
      <c r="CA355"/>
      <c r="CB355" s="34"/>
      <c r="CC355" s="34"/>
      <c r="CD355" s="34"/>
      <c r="CE355" s="141"/>
    </row>
    <row r="356" spans="1:83">
      <c r="A356" s="35" t="s">
        <v>689</v>
      </c>
      <c r="B356" s="9" t="s">
        <v>921</v>
      </c>
      <c r="C356" s="9" t="s">
        <v>54</v>
      </c>
      <c r="D356" s="10" t="s">
        <v>1</v>
      </c>
      <c r="E356" s="9" t="s">
        <v>115</v>
      </c>
      <c r="F356" s="36" t="s">
        <v>99</v>
      </c>
      <c r="G356" s="9" t="s">
        <v>100</v>
      </c>
      <c r="H356" s="3" t="s">
        <v>103</v>
      </c>
      <c r="I356" s="9" t="s">
        <v>100</v>
      </c>
      <c r="J356" s="36" t="s">
        <v>101</v>
      </c>
      <c r="K356" s="10" t="s">
        <v>559</v>
      </c>
      <c r="L356" s="10" t="s">
        <v>559</v>
      </c>
      <c r="M356" s="9" t="s">
        <v>100</v>
      </c>
      <c r="N356" s="10" t="s">
        <v>719</v>
      </c>
      <c r="O356" s="9" t="s">
        <v>100</v>
      </c>
      <c r="P356" s="10"/>
      <c r="Q356" s="10" t="s">
        <v>719</v>
      </c>
      <c r="R356" s="10" t="s">
        <v>119</v>
      </c>
      <c r="S356" s="10" t="s">
        <v>130</v>
      </c>
      <c r="T356" s="10" t="s">
        <v>120</v>
      </c>
      <c r="U356" s="10" t="s">
        <v>101</v>
      </c>
      <c r="V356" s="10" t="s">
        <v>121</v>
      </c>
      <c r="W356" s="10" t="s">
        <v>122</v>
      </c>
      <c r="X356" s="10" t="s">
        <v>123</v>
      </c>
      <c r="Y356" s="29">
        <v>1</v>
      </c>
      <c r="Z356" s="138" t="s">
        <v>754</v>
      </c>
      <c r="AA356" s="138">
        <v>42615</v>
      </c>
      <c r="AB356" s="9" t="s">
        <v>114</v>
      </c>
      <c r="AC356" s="9" t="s">
        <v>124</v>
      </c>
      <c r="AD356" s="15">
        <v>44651</v>
      </c>
      <c r="AE356" s="39" t="s">
        <v>125</v>
      </c>
      <c r="AF356" s="177">
        <v>3</v>
      </c>
      <c r="AG356" s="140">
        <v>0</v>
      </c>
      <c r="AH356" s="9">
        <v>0</v>
      </c>
      <c r="AI356" s="10" t="s">
        <v>126</v>
      </c>
      <c r="AJ356" s="10"/>
      <c r="AK356" s="29"/>
      <c r="AL356" s="12">
        <v>1.5</v>
      </c>
      <c r="AM356" s="10"/>
      <c r="AN356" s="12">
        <f>FAR[[#This Row],[Opening RUL]]+FAR[[#This Row],[RUL Adjustment]]</f>
        <v>1.5</v>
      </c>
      <c r="AO356" s="12">
        <f>FAR[[#This Row],[Opening RUL 30 June 2026]]-1</f>
        <v>0.5</v>
      </c>
      <c r="AP356" s="12" t="s">
        <v>1050</v>
      </c>
      <c r="AQ356" s="139"/>
      <c r="AR356" s="10" t="s">
        <v>127</v>
      </c>
      <c r="AS356" s="13">
        <v>132456.48000000001</v>
      </c>
      <c r="AT356" s="13"/>
      <c r="AU356" s="13">
        <v>0</v>
      </c>
      <c r="AV356" s="13">
        <v>0</v>
      </c>
      <c r="AW356" s="13">
        <v>0</v>
      </c>
      <c r="AX356" s="13">
        <v>132456.48000000001</v>
      </c>
      <c r="AY356" s="13">
        <v>5676.7062857142882</v>
      </c>
      <c r="AZ356" s="13">
        <v>0</v>
      </c>
      <c r="BA356" s="13"/>
      <c r="BB356" s="13"/>
      <c r="BC356" s="13">
        <v>-126779.77371428572</v>
      </c>
      <c r="BD356" s="13"/>
      <c r="BE356" s="13" t="s">
        <v>114</v>
      </c>
      <c r="BF356" s="29"/>
      <c r="BG356" s="13"/>
      <c r="BH356" s="13">
        <f>-FAR[[#This Row],[Carrying value (opening balance)]]/FAR[[#This Row],[Opening RUL 30 June 2026]]</f>
        <v>-3784.4708571428587</v>
      </c>
      <c r="BI356" s="13">
        <f>FAR[[#This Row],[Depreciation YTD]]/12</f>
        <v>-315.37257142857158</v>
      </c>
      <c r="BJ356" s="13"/>
      <c r="BK356" s="13" t="s">
        <v>116</v>
      </c>
      <c r="BL356" s="13">
        <v>0</v>
      </c>
      <c r="BM356" s="13">
        <f>FAR[[#This Row],[Accumulated depreciation (Opening balance)]]+FAR[[#This Row],[Depreciation YTD]]+FAR[[#This Row],[Derecognitions (acc dep) '[+']]]</f>
        <v>-130564.24457142859</v>
      </c>
      <c r="BN356" s="13"/>
      <c r="BO356" s="13"/>
      <c r="BP356" s="13"/>
      <c r="BQ356" s="13"/>
      <c r="BR35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56" s="13">
        <f>FAR[[#This Row],[Cost Price (closing balance)]]+FAR[[#This Row],[Accumulated depreciation (Closing balance)]]+FAR[[#This Row],[Accumulated impairments (Closing balance)]]</f>
        <v>1892.2354285714246</v>
      </c>
      <c r="BT356" s="13"/>
      <c r="BU356" s="13"/>
      <c r="BV356" s="13"/>
      <c r="BW356" s="10" t="s">
        <v>167</v>
      </c>
      <c r="BX356" s="9" t="s">
        <v>168</v>
      </c>
      <c r="BY356" s="10"/>
      <c r="BZ356" t="s">
        <v>1023</v>
      </c>
      <c r="CA356"/>
      <c r="CB356" s="34"/>
      <c r="CC356" s="34"/>
      <c r="CD356" s="34"/>
      <c r="CE356" s="141"/>
    </row>
    <row r="357" spans="1:83">
      <c r="A357" s="35" t="s">
        <v>690</v>
      </c>
      <c r="B357" s="9">
        <v>17</v>
      </c>
      <c r="C357" s="9" t="s">
        <v>54</v>
      </c>
      <c r="D357" s="10" t="s">
        <v>1</v>
      </c>
      <c r="E357" s="9" t="s">
        <v>115</v>
      </c>
      <c r="F357" s="36" t="s">
        <v>99</v>
      </c>
      <c r="G357" s="9" t="s">
        <v>100</v>
      </c>
      <c r="H357" s="3" t="s">
        <v>103</v>
      </c>
      <c r="I357" s="9" t="s">
        <v>100</v>
      </c>
      <c r="J357" s="36" t="s">
        <v>101</v>
      </c>
      <c r="K357" s="10" t="s">
        <v>559</v>
      </c>
      <c r="L357" s="10" t="s">
        <v>559</v>
      </c>
      <c r="M357" s="9" t="s">
        <v>100</v>
      </c>
      <c r="N357" s="10" t="s">
        <v>720</v>
      </c>
      <c r="O357" s="9" t="s">
        <v>100</v>
      </c>
      <c r="P357" s="10"/>
      <c r="Q357" s="10" t="s">
        <v>720</v>
      </c>
      <c r="R357" s="10" t="s">
        <v>119</v>
      </c>
      <c r="S357" s="10" t="s">
        <v>130</v>
      </c>
      <c r="T357" s="10" t="s">
        <v>120</v>
      </c>
      <c r="U357" s="10" t="s">
        <v>101</v>
      </c>
      <c r="V357" s="10" t="s">
        <v>121</v>
      </c>
      <c r="W357" s="10" t="s">
        <v>122</v>
      </c>
      <c r="X357" s="10" t="s">
        <v>123</v>
      </c>
      <c r="Y357" s="29">
        <v>1</v>
      </c>
      <c r="Z357" s="138" t="s">
        <v>755</v>
      </c>
      <c r="AA357" s="138">
        <v>42719</v>
      </c>
      <c r="AB357" s="9" t="s">
        <v>114</v>
      </c>
      <c r="AC357" s="9" t="s">
        <v>124</v>
      </c>
      <c r="AD357" s="15">
        <v>44651</v>
      </c>
      <c r="AE357" s="39" t="s">
        <v>125</v>
      </c>
      <c r="AF357" s="177">
        <v>3</v>
      </c>
      <c r="AG357" s="140">
        <v>0</v>
      </c>
      <c r="AH357" s="9">
        <v>0</v>
      </c>
      <c r="AI357" s="10" t="s">
        <v>126</v>
      </c>
      <c r="AJ357" s="10"/>
      <c r="AK357" s="29"/>
      <c r="AL357" s="12">
        <v>1.5</v>
      </c>
      <c r="AM357" s="10"/>
      <c r="AN357" s="12">
        <f>FAR[[#This Row],[Opening RUL]]+FAR[[#This Row],[RUL Adjustment]]</f>
        <v>1.5</v>
      </c>
      <c r="AO357" s="12">
        <f>FAR[[#This Row],[Opening RUL 30 June 2026]]-1</f>
        <v>0.5</v>
      </c>
      <c r="AP357" s="12" t="s">
        <v>1050</v>
      </c>
      <c r="AQ357" s="139"/>
      <c r="AR357" s="10" t="s">
        <v>127</v>
      </c>
      <c r="AS357" s="13">
        <v>166739.76</v>
      </c>
      <c r="AT357" s="13"/>
      <c r="AU357" s="13">
        <v>0</v>
      </c>
      <c r="AV357" s="13">
        <v>0</v>
      </c>
      <c r="AW357" s="13">
        <v>0</v>
      </c>
      <c r="AX357" s="13">
        <v>166739.76</v>
      </c>
      <c r="AY357" s="13">
        <v>7145.989714285708</v>
      </c>
      <c r="AZ357" s="13">
        <v>0</v>
      </c>
      <c r="BA357" s="13"/>
      <c r="BB357" s="13"/>
      <c r="BC357" s="13">
        <v>-159593.7702857143</v>
      </c>
      <c r="BD357" s="13"/>
      <c r="BE357" s="13" t="s">
        <v>114</v>
      </c>
      <c r="BF357" s="29"/>
      <c r="BG357" s="13"/>
      <c r="BH357" s="13">
        <f>-FAR[[#This Row],[Carrying value (opening balance)]]/FAR[[#This Row],[Opening RUL 30 June 2026]]</f>
        <v>-4763.993142857139</v>
      </c>
      <c r="BI357" s="13">
        <f>FAR[[#This Row],[Depreciation YTD]]/12</f>
        <v>-396.99942857142827</v>
      </c>
      <c r="BJ357" s="13"/>
      <c r="BK357" s="13" t="s">
        <v>116</v>
      </c>
      <c r="BL357" s="13">
        <v>0</v>
      </c>
      <c r="BM357" s="13">
        <f>FAR[[#This Row],[Accumulated depreciation (Opening balance)]]+FAR[[#This Row],[Depreciation YTD]]+FAR[[#This Row],[Derecognitions (acc dep) '[+']]]</f>
        <v>-164357.76342857143</v>
      </c>
      <c r="BN357" s="13"/>
      <c r="BO357" s="13"/>
      <c r="BP357" s="13"/>
      <c r="BQ357" s="13"/>
      <c r="BR35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57" s="13">
        <f>FAR[[#This Row],[Cost Price (closing balance)]]+FAR[[#This Row],[Accumulated depreciation (Closing balance)]]+FAR[[#This Row],[Accumulated impairments (Closing balance)]]</f>
        <v>2381.996571428579</v>
      </c>
      <c r="BT357" s="13"/>
      <c r="BU357" s="13"/>
      <c r="BV357" s="13"/>
      <c r="BW357" s="10" t="s">
        <v>167</v>
      </c>
      <c r="BX357" s="9" t="s">
        <v>168</v>
      </c>
      <c r="BY357" s="10"/>
      <c r="BZ357" t="s">
        <v>945</v>
      </c>
      <c r="CA357"/>
      <c r="CB357" s="34"/>
      <c r="CC357" s="34"/>
      <c r="CD357" s="34"/>
      <c r="CE357" s="141"/>
    </row>
    <row r="358" spans="1:83">
      <c r="A358" s="35" t="s">
        <v>691</v>
      </c>
      <c r="B358" s="9" t="s">
        <v>922</v>
      </c>
      <c r="C358" s="9" t="s">
        <v>54</v>
      </c>
      <c r="D358" s="10" t="s">
        <v>1</v>
      </c>
      <c r="E358" s="9" t="s">
        <v>115</v>
      </c>
      <c r="F358" s="36" t="s">
        <v>99</v>
      </c>
      <c r="G358" s="9" t="s">
        <v>100</v>
      </c>
      <c r="H358" s="3" t="s">
        <v>103</v>
      </c>
      <c r="I358" s="9" t="s">
        <v>100</v>
      </c>
      <c r="J358" s="36" t="s">
        <v>101</v>
      </c>
      <c r="K358" s="10" t="s">
        <v>559</v>
      </c>
      <c r="L358" s="10" t="s">
        <v>559</v>
      </c>
      <c r="M358" s="9" t="s">
        <v>100</v>
      </c>
      <c r="N358" s="10" t="s">
        <v>721</v>
      </c>
      <c r="O358" s="9" t="s">
        <v>100</v>
      </c>
      <c r="P358" s="10"/>
      <c r="Q358" s="10" t="s">
        <v>721</v>
      </c>
      <c r="R358" s="10" t="s">
        <v>119</v>
      </c>
      <c r="S358" s="10" t="s">
        <v>130</v>
      </c>
      <c r="T358" s="10" t="s">
        <v>120</v>
      </c>
      <c r="U358" s="10" t="s">
        <v>101</v>
      </c>
      <c r="V358" s="10" t="s">
        <v>121</v>
      </c>
      <c r="W358" s="10" t="s">
        <v>122</v>
      </c>
      <c r="X358" s="10" t="s">
        <v>123</v>
      </c>
      <c r="Y358" s="29">
        <v>1</v>
      </c>
      <c r="Z358" s="138" t="s">
        <v>755</v>
      </c>
      <c r="AA358" s="138">
        <v>42719</v>
      </c>
      <c r="AB358" s="9" t="s">
        <v>114</v>
      </c>
      <c r="AC358" s="9" t="s">
        <v>124</v>
      </c>
      <c r="AD358" s="15">
        <v>44651</v>
      </c>
      <c r="AE358" s="39" t="s">
        <v>125</v>
      </c>
      <c r="AF358" s="177">
        <v>3</v>
      </c>
      <c r="AG358" s="140">
        <v>0</v>
      </c>
      <c r="AH358" s="9">
        <v>0</v>
      </c>
      <c r="AI358" s="10" t="s">
        <v>126</v>
      </c>
      <c r="AJ358" s="10"/>
      <c r="AK358" s="29"/>
      <c r="AL358" s="12">
        <v>1.5</v>
      </c>
      <c r="AM358" s="10"/>
      <c r="AN358" s="12">
        <f>FAR[[#This Row],[Opening RUL]]+FAR[[#This Row],[RUL Adjustment]]</f>
        <v>1.5</v>
      </c>
      <c r="AO358" s="12">
        <f>FAR[[#This Row],[Opening RUL 30 June 2026]]-1</f>
        <v>0.5</v>
      </c>
      <c r="AP358" s="12" t="s">
        <v>1050</v>
      </c>
      <c r="AQ358" s="139"/>
      <c r="AR358" s="10" t="s">
        <v>127</v>
      </c>
      <c r="AS358" s="13">
        <v>150799.29999999999</v>
      </c>
      <c r="AT358" s="13"/>
      <c r="AU358" s="13">
        <v>0</v>
      </c>
      <c r="AV358" s="13">
        <v>0</v>
      </c>
      <c r="AW358" s="13">
        <v>0</v>
      </c>
      <c r="AX358" s="13">
        <v>150799.29999999999</v>
      </c>
      <c r="AY358" s="13">
        <v>6462.8271428571315</v>
      </c>
      <c r="AZ358" s="13">
        <v>0</v>
      </c>
      <c r="BA358" s="13"/>
      <c r="BB358" s="13"/>
      <c r="BC358" s="13">
        <v>-144336.47285714286</v>
      </c>
      <c r="BD358" s="13"/>
      <c r="BE358" s="13" t="s">
        <v>114</v>
      </c>
      <c r="BF358" s="29"/>
      <c r="BG358" s="13"/>
      <c r="BH358" s="13">
        <f>-FAR[[#This Row],[Carrying value (opening balance)]]/FAR[[#This Row],[Opening RUL 30 June 2026]]</f>
        <v>-4308.5514285714207</v>
      </c>
      <c r="BI358" s="13">
        <f>FAR[[#This Row],[Depreciation YTD]]/12</f>
        <v>-359.04595238095175</v>
      </c>
      <c r="BJ358" s="13"/>
      <c r="BK358" s="13" t="s">
        <v>116</v>
      </c>
      <c r="BL358" s="13">
        <v>0</v>
      </c>
      <c r="BM358" s="13">
        <f>FAR[[#This Row],[Accumulated depreciation (Opening balance)]]+FAR[[#This Row],[Depreciation YTD]]+FAR[[#This Row],[Derecognitions (acc dep) '[+']]]</f>
        <v>-148645.02428571429</v>
      </c>
      <c r="BN358" s="13"/>
      <c r="BO358" s="13"/>
      <c r="BP358" s="13"/>
      <c r="BQ358" s="13"/>
      <c r="BR35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58" s="13">
        <f>FAR[[#This Row],[Cost Price (closing balance)]]+FAR[[#This Row],[Accumulated depreciation (Closing balance)]]+FAR[[#This Row],[Accumulated impairments (Closing balance)]]</f>
        <v>2154.2757142857008</v>
      </c>
      <c r="BT358" s="13"/>
      <c r="BU358" s="13"/>
      <c r="BV358" s="13"/>
      <c r="BW358" s="10" t="s">
        <v>167</v>
      </c>
      <c r="BX358" s="9" t="s">
        <v>168</v>
      </c>
      <c r="BY358" s="10"/>
      <c r="BZ358" t="s">
        <v>983</v>
      </c>
      <c r="CA358"/>
      <c r="CB358" s="34"/>
      <c r="CC358" s="34"/>
      <c r="CD358" s="34"/>
      <c r="CE358" s="141"/>
    </row>
    <row r="359" spans="1:83">
      <c r="A359" s="35">
        <v>1036</v>
      </c>
      <c r="B359" s="9" t="s">
        <v>921</v>
      </c>
      <c r="C359" s="9" t="s">
        <v>54</v>
      </c>
      <c r="D359" s="10" t="s">
        <v>1</v>
      </c>
      <c r="E359" s="9" t="s">
        <v>115</v>
      </c>
      <c r="F359" s="36" t="s">
        <v>99</v>
      </c>
      <c r="G359" s="9" t="s">
        <v>100</v>
      </c>
      <c r="H359" s="3" t="s">
        <v>103</v>
      </c>
      <c r="I359" s="9" t="s">
        <v>100</v>
      </c>
      <c r="J359" s="36" t="s">
        <v>101</v>
      </c>
      <c r="K359" s="10" t="s">
        <v>559</v>
      </c>
      <c r="L359" s="10" t="s">
        <v>559</v>
      </c>
      <c r="M359" s="9" t="s">
        <v>100</v>
      </c>
      <c r="N359" s="10" t="s">
        <v>722</v>
      </c>
      <c r="O359" s="9" t="s">
        <v>100</v>
      </c>
      <c r="P359" s="10"/>
      <c r="Q359" s="10" t="s">
        <v>722</v>
      </c>
      <c r="R359" s="10" t="s">
        <v>119</v>
      </c>
      <c r="S359" s="10" t="s">
        <v>130</v>
      </c>
      <c r="T359" s="10" t="s">
        <v>120</v>
      </c>
      <c r="U359" s="10" t="s">
        <v>101</v>
      </c>
      <c r="V359" s="10" t="s">
        <v>121</v>
      </c>
      <c r="W359" s="10" t="s">
        <v>122</v>
      </c>
      <c r="X359" s="10" t="s">
        <v>123</v>
      </c>
      <c r="Y359" s="29">
        <v>1</v>
      </c>
      <c r="Z359" s="138" t="s">
        <v>755</v>
      </c>
      <c r="AA359" s="138">
        <v>42719</v>
      </c>
      <c r="AB359" s="9" t="s">
        <v>114</v>
      </c>
      <c r="AC359" s="9" t="s">
        <v>124</v>
      </c>
      <c r="AD359" s="15">
        <v>44651</v>
      </c>
      <c r="AE359" s="39" t="s">
        <v>125</v>
      </c>
      <c r="AF359" s="177">
        <v>3</v>
      </c>
      <c r="AG359" s="140">
        <v>0</v>
      </c>
      <c r="AH359" s="9">
        <v>0</v>
      </c>
      <c r="AI359" s="10" t="s">
        <v>126</v>
      </c>
      <c r="AJ359" s="10"/>
      <c r="AK359" s="29"/>
      <c r="AL359" s="12">
        <v>1.5</v>
      </c>
      <c r="AM359" s="10"/>
      <c r="AN359" s="12">
        <f>FAR[[#This Row],[Opening RUL]]+FAR[[#This Row],[RUL Adjustment]]</f>
        <v>1.5</v>
      </c>
      <c r="AO359" s="12">
        <f>FAR[[#This Row],[Opening RUL 30 June 2026]]-1</f>
        <v>0.5</v>
      </c>
      <c r="AP359" s="12" t="s">
        <v>1053</v>
      </c>
      <c r="AQ359" s="139"/>
      <c r="AR359" s="10" t="s">
        <v>127</v>
      </c>
      <c r="AS359" s="13">
        <v>9168.57</v>
      </c>
      <c r="AT359" s="13"/>
      <c r="AU359" s="13">
        <v>0</v>
      </c>
      <c r="AV359" s="13">
        <v>0</v>
      </c>
      <c r="AW359" s="13">
        <v>0</v>
      </c>
      <c r="AX359" s="13">
        <v>9168.57</v>
      </c>
      <c r="AY359" s="13">
        <v>392.93871428571401</v>
      </c>
      <c r="AZ359" s="13">
        <v>0</v>
      </c>
      <c r="BA359" s="13"/>
      <c r="BB359" s="13"/>
      <c r="BC359" s="13">
        <v>-8775.6312857142857</v>
      </c>
      <c r="BD359" s="13"/>
      <c r="BE359" s="13" t="s">
        <v>114</v>
      </c>
      <c r="BF359" s="29"/>
      <c r="BG359" s="13"/>
      <c r="BH359" s="13">
        <f>-FAR[[#This Row],[Carrying value (opening balance)]]/FAR[[#This Row],[Opening RUL 30 June 2026]]</f>
        <v>-261.95914285714269</v>
      </c>
      <c r="BI359" s="13">
        <f>FAR[[#This Row],[Depreciation YTD]]/12</f>
        <v>-21.829928571428557</v>
      </c>
      <c r="BJ359" s="13"/>
      <c r="BK359" s="13" t="s">
        <v>116</v>
      </c>
      <c r="BL359" s="13">
        <v>0</v>
      </c>
      <c r="BM359" s="13">
        <f>FAR[[#This Row],[Accumulated depreciation (Opening balance)]]+FAR[[#This Row],[Depreciation YTD]]+FAR[[#This Row],[Derecognitions (acc dep) '[+']]]</f>
        <v>-9037.5904285714278</v>
      </c>
      <c r="BN359" s="13"/>
      <c r="BO359" s="13"/>
      <c r="BP359" s="13"/>
      <c r="BQ359" s="13"/>
      <c r="BR35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59" s="13">
        <f>FAR[[#This Row],[Cost Price (closing balance)]]+FAR[[#This Row],[Accumulated depreciation (Closing balance)]]+FAR[[#This Row],[Accumulated impairments (Closing balance)]]</f>
        <v>130.97957142857194</v>
      </c>
      <c r="BT359" s="13"/>
      <c r="BU359" s="13"/>
      <c r="BV359" s="13"/>
      <c r="BW359" s="10" t="s">
        <v>167</v>
      </c>
      <c r="BX359" s="9" t="s">
        <v>168</v>
      </c>
      <c r="BY359" s="10"/>
      <c r="BZ359" t="s">
        <v>1023</v>
      </c>
      <c r="CA359"/>
      <c r="CB359" s="34"/>
      <c r="CC359" s="34"/>
      <c r="CD359" s="34"/>
      <c r="CE359" s="141"/>
    </row>
    <row r="360" spans="1:83">
      <c r="A360" s="35">
        <v>1502</v>
      </c>
      <c r="B360" s="9" t="s">
        <v>882</v>
      </c>
      <c r="C360" s="9" t="s">
        <v>54</v>
      </c>
      <c r="D360" s="10" t="s">
        <v>1</v>
      </c>
      <c r="E360" s="9" t="s">
        <v>115</v>
      </c>
      <c r="F360" s="36" t="s">
        <v>99</v>
      </c>
      <c r="G360" s="9" t="s">
        <v>100</v>
      </c>
      <c r="H360" s="3" t="s">
        <v>103</v>
      </c>
      <c r="I360" s="9" t="s">
        <v>100</v>
      </c>
      <c r="J360" s="36" t="s">
        <v>101</v>
      </c>
      <c r="K360" s="10" t="s">
        <v>559</v>
      </c>
      <c r="L360" s="10" t="s">
        <v>559</v>
      </c>
      <c r="M360" s="9" t="s">
        <v>100</v>
      </c>
      <c r="N360" s="10" t="s">
        <v>723</v>
      </c>
      <c r="O360" s="9" t="s">
        <v>100</v>
      </c>
      <c r="P360" s="10"/>
      <c r="Q360" s="10" t="s">
        <v>800</v>
      </c>
      <c r="R360" s="10" t="s">
        <v>119</v>
      </c>
      <c r="S360" s="10" t="s">
        <v>130</v>
      </c>
      <c r="T360" s="10" t="s">
        <v>120</v>
      </c>
      <c r="U360" s="10" t="s">
        <v>101</v>
      </c>
      <c r="V360" s="10" t="s">
        <v>121</v>
      </c>
      <c r="W360" s="10" t="s">
        <v>122</v>
      </c>
      <c r="X360" s="10" t="s">
        <v>123</v>
      </c>
      <c r="Y360" s="29">
        <v>1</v>
      </c>
      <c r="Z360" s="138" t="s">
        <v>756</v>
      </c>
      <c r="AA360" s="138">
        <v>42878</v>
      </c>
      <c r="AB360" s="9" t="s">
        <v>114</v>
      </c>
      <c r="AC360" s="9" t="s">
        <v>124</v>
      </c>
      <c r="AD360" s="15">
        <v>44651</v>
      </c>
      <c r="AE360" s="39" t="s">
        <v>125</v>
      </c>
      <c r="AF360" s="177">
        <v>3</v>
      </c>
      <c r="AG360" s="140">
        <v>0</v>
      </c>
      <c r="AH360" s="9">
        <v>0</v>
      </c>
      <c r="AI360" s="10" t="s">
        <v>126</v>
      </c>
      <c r="AJ360" s="10"/>
      <c r="AK360" s="29"/>
      <c r="AL360" s="12">
        <v>1.5</v>
      </c>
      <c r="AM360" s="10"/>
      <c r="AN360" s="12">
        <f>FAR[[#This Row],[Opening RUL]]+FAR[[#This Row],[RUL Adjustment]]</f>
        <v>1.5</v>
      </c>
      <c r="AO360" s="12">
        <f>FAR[[#This Row],[Opening RUL 30 June 2026]]-1</f>
        <v>0.5</v>
      </c>
      <c r="AP360" s="12" t="s">
        <v>1050</v>
      </c>
      <c r="AQ360" s="139"/>
      <c r="AR360" s="10" t="s">
        <v>127</v>
      </c>
      <c r="AS360" s="13">
        <v>34411.089999999997</v>
      </c>
      <c r="AT360" s="13"/>
      <c r="AU360" s="13">
        <v>0</v>
      </c>
      <c r="AV360" s="13">
        <v>0</v>
      </c>
      <c r="AW360" s="13">
        <v>0</v>
      </c>
      <c r="AX360" s="13">
        <v>34411.089999999997</v>
      </c>
      <c r="AY360" s="13">
        <v>1474.7609999999986</v>
      </c>
      <c r="AZ360" s="13">
        <v>0</v>
      </c>
      <c r="BA360" s="13"/>
      <c r="BB360" s="13"/>
      <c r="BC360" s="13">
        <v>-32936.328999999998</v>
      </c>
      <c r="BD360" s="13"/>
      <c r="BE360" s="13" t="s">
        <v>114</v>
      </c>
      <c r="BF360" s="29"/>
      <c r="BG360" s="13"/>
      <c r="BH360" s="13">
        <f>-FAR[[#This Row],[Carrying value (opening balance)]]/FAR[[#This Row],[Opening RUL 30 June 2026]]</f>
        <v>-983.17399999999907</v>
      </c>
      <c r="BI360" s="13">
        <f>FAR[[#This Row],[Depreciation YTD]]/12</f>
        <v>-81.931166666666584</v>
      </c>
      <c r="BJ360" s="13"/>
      <c r="BK360" s="13" t="s">
        <v>116</v>
      </c>
      <c r="BL360" s="13">
        <v>0</v>
      </c>
      <c r="BM360" s="13">
        <f>FAR[[#This Row],[Accumulated depreciation (Opening balance)]]+FAR[[#This Row],[Depreciation YTD]]+FAR[[#This Row],[Derecognitions (acc dep) '[+']]]</f>
        <v>-33919.502999999997</v>
      </c>
      <c r="BN360" s="13"/>
      <c r="BO360" s="13"/>
      <c r="BP360" s="13"/>
      <c r="BQ360" s="13"/>
      <c r="BR36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60" s="13">
        <f>FAR[[#This Row],[Cost Price (closing balance)]]+FAR[[#This Row],[Accumulated depreciation (Closing balance)]]+FAR[[#This Row],[Accumulated impairments (Closing balance)]]</f>
        <v>491.58699999999953</v>
      </c>
      <c r="BT360" s="13"/>
      <c r="BU360" s="13"/>
      <c r="BV360" s="13"/>
      <c r="BW360" s="10" t="s">
        <v>167</v>
      </c>
      <c r="BX360" s="9" t="s">
        <v>168</v>
      </c>
      <c r="BY360" s="10"/>
      <c r="BZ360" t="s">
        <v>971</v>
      </c>
      <c r="CA360"/>
      <c r="CB360" s="34"/>
      <c r="CC360" s="34"/>
      <c r="CD360" s="34"/>
      <c r="CE360" s="141"/>
    </row>
    <row r="361" spans="1:83">
      <c r="A361" s="35">
        <v>1066</v>
      </c>
      <c r="B361" s="9" t="s">
        <v>918</v>
      </c>
      <c r="C361" s="9" t="s">
        <v>54</v>
      </c>
      <c r="D361" s="10" t="s">
        <v>1</v>
      </c>
      <c r="E361" s="9" t="s">
        <v>115</v>
      </c>
      <c r="F361" s="36" t="s">
        <v>99</v>
      </c>
      <c r="G361" s="9" t="s">
        <v>100</v>
      </c>
      <c r="H361" s="3" t="s">
        <v>103</v>
      </c>
      <c r="I361" s="9" t="s">
        <v>100</v>
      </c>
      <c r="J361" s="36" t="s">
        <v>101</v>
      </c>
      <c r="K361" s="10" t="s">
        <v>559</v>
      </c>
      <c r="L361" s="10" t="s">
        <v>559</v>
      </c>
      <c r="M361" s="9" t="s">
        <v>100</v>
      </c>
      <c r="N361" s="10" t="s">
        <v>724</v>
      </c>
      <c r="O361" s="9" t="s">
        <v>100</v>
      </c>
      <c r="P361" s="10"/>
      <c r="Q361" s="10" t="s">
        <v>724</v>
      </c>
      <c r="R361" s="10" t="s">
        <v>119</v>
      </c>
      <c r="S361" s="10" t="s">
        <v>130</v>
      </c>
      <c r="T361" s="10" t="s">
        <v>120</v>
      </c>
      <c r="U361" s="10" t="s">
        <v>101</v>
      </c>
      <c r="V361" s="10" t="s">
        <v>121</v>
      </c>
      <c r="W361" s="10" t="s">
        <v>122</v>
      </c>
      <c r="X361" s="10" t="s">
        <v>123</v>
      </c>
      <c r="Y361" s="29">
        <v>1</v>
      </c>
      <c r="Z361" s="138" t="s">
        <v>757</v>
      </c>
      <c r="AA361" s="138">
        <v>43014</v>
      </c>
      <c r="AB361" s="9" t="s">
        <v>114</v>
      </c>
      <c r="AC361" s="9" t="s">
        <v>124</v>
      </c>
      <c r="AD361" s="15">
        <v>44651</v>
      </c>
      <c r="AE361" s="39" t="s">
        <v>125</v>
      </c>
      <c r="AF361" s="177">
        <v>3</v>
      </c>
      <c r="AG361" s="140">
        <v>0</v>
      </c>
      <c r="AH361" s="9">
        <v>0</v>
      </c>
      <c r="AI361" s="10" t="s">
        <v>126</v>
      </c>
      <c r="AJ361" s="10"/>
      <c r="AK361" s="29"/>
      <c r="AL361" s="12">
        <v>1.5</v>
      </c>
      <c r="AM361" s="10"/>
      <c r="AN361" s="12">
        <f>FAR[[#This Row],[Opening RUL]]+FAR[[#This Row],[RUL Adjustment]]</f>
        <v>1.5</v>
      </c>
      <c r="AO361" s="12">
        <f>FAR[[#This Row],[Opening RUL 30 June 2026]]-1</f>
        <v>0.5</v>
      </c>
      <c r="AP361" s="12" t="s">
        <v>1050</v>
      </c>
      <c r="AQ361" s="139"/>
      <c r="AR361" s="10" t="s">
        <v>127</v>
      </c>
      <c r="AS361" s="13">
        <v>14618.96</v>
      </c>
      <c r="AT361" s="13"/>
      <c r="AU361" s="13">
        <v>0</v>
      </c>
      <c r="AV361" s="13">
        <v>0</v>
      </c>
      <c r="AW361" s="13">
        <v>0</v>
      </c>
      <c r="AX361" s="13">
        <v>14618.96</v>
      </c>
      <c r="AY361" s="13">
        <v>626.5268571428569</v>
      </c>
      <c r="AZ361" s="13">
        <v>0</v>
      </c>
      <c r="BA361" s="13"/>
      <c r="BB361" s="13"/>
      <c r="BC361" s="13">
        <v>-13992.433142857142</v>
      </c>
      <c r="BD361" s="13"/>
      <c r="BE361" s="13" t="s">
        <v>114</v>
      </c>
      <c r="BF361" s="29"/>
      <c r="BG361" s="13"/>
      <c r="BH361" s="13">
        <f>-FAR[[#This Row],[Carrying value (opening balance)]]/FAR[[#This Row],[Opening RUL 30 June 2026]]</f>
        <v>-417.68457142857125</v>
      </c>
      <c r="BI361" s="13">
        <f>FAR[[#This Row],[Depreciation YTD]]/12</f>
        <v>-34.807047619047601</v>
      </c>
      <c r="BJ361" s="13"/>
      <c r="BK361" s="13" t="s">
        <v>116</v>
      </c>
      <c r="BL361" s="13">
        <v>0</v>
      </c>
      <c r="BM361" s="13">
        <f>FAR[[#This Row],[Accumulated depreciation (Opening balance)]]+FAR[[#This Row],[Depreciation YTD]]+FAR[[#This Row],[Derecognitions (acc dep) '[+']]]</f>
        <v>-14410.117714285714</v>
      </c>
      <c r="BN361" s="13"/>
      <c r="BO361" s="13"/>
      <c r="BP361" s="13"/>
      <c r="BQ361" s="13"/>
      <c r="BR36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61" s="13">
        <f>FAR[[#This Row],[Cost Price (closing balance)]]+FAR[[#This Row],[Accumulated depreciation (Closing balance)]]+FAR[[#This Row],[Accumulated impairments (Closing balance)]]</f>
        <v>208.84228571428503</v>
      </c>
      <c r="BT361" s="13"/>
      <c r="BU361" s="13"/>
      <c r="BV361" s="13"/>
      <c r="BW361" s="10" t="s">
        <v>167</v>
      </c>
      <c r="BX361" s="9" t="s">
        <v>168</v>
      </c>
      <c r="BY361" s="10"/>
      <c r="BZ361" t="s">
        <v>1023</v>
      </c>
      <c r="CA361"/>
      <c r="CB361" s="34"/>
      <c r="CC361" s="34"/>
      <c r="CD361" s="34"/>
      <c r="CE361" s="141"/>
    </row>
    <row r="362" spans="1:83">
      <c r="A362" s="35">
        <v>1065</v>
      </c>
      <c r="B362" s="9" t="s">
        <v>877</v>
      </c>
      <c r="C362" s="9" t="s">
        <v>54</v>
      </c>
      <c r="D362" s="10" t="s">
        <v>1</v>
      </c>
      <c r="E362" s="9" t="s">
        <v>115</v>
      </c>
      <c r="F362" s="36" t="s">
        <v>99</v>
      </c>
      <c r="G362" s="9" t="s">
        <v>100</v>
      </c>
      <c r="H362" s="3" t="s">
        <v>103</v>
      </c>
      <c r="I362" s="9" t="s">
        <v>100</v>
      </c>
      <c r="J362" s="36" t="s">
        <v>101</v>
      </c>
      <c r="K362" s="10" t="s">
        <v>559</v>
      </c>
      <c r="L362" s="10" t="s">
        <v>559</v>
      </c>
      <c r="M362" s="9" t="s">
        <v>100</v>
      </c>
      <c r="N362" s="10" t="s">
        <v>725</v>
      </c>
      <c r="O362" s="9" t="s">
        <v>100</v>
      </c>
      <c r="P362" s="10"/>
      <c r="Q362" s="10" t="s">
        <v>725</v>
      </c>
      <c r="R362" s="10" t="s">
        <v>119</v>
      </c>
      <c r="S362" s="10" t="s">
        <v>130</v>
      </c>
      <c r="T362" s="10" t="s">
        <v>120</v>
      </c>
      <c r="U362" s="10" t="s">
        <v>101</v>
      </c>
      <c r="V362" s="10" t="s">
        <v>121</v>
      </c>
      <c r="W362" s="10" t="s">
        <v>122</v>
      </c>
      <c r="X362" s="10" t="s">
        <v>123</v>
      </c>
      <c r="Y362" s="29">
        <v>1</v>
      </c>
      <c r="Z362" s="138" t="s">
        <v>757</v>
      </c>
      <c r="AA362" s="138">
        <v>43014</v>
      </c>
      <c r="AB362" s="9" t="s">
        <v>114</v>
      </c>
      <c r="AC362" s="9" t="s">
        <v>124</v>
      </c>
      <c r="AD362" s="15">
        <v>44651</v>
      </c>
      <c r="AE362" s="39" t="s">
        <v>125</v>
      </c>
      <c r="AF362" s="177">
        <v>3</v>
      </c>
      <c r="AG362" s="140">
        <v>0</v>
      </c>
      <c r="AH362" s="9">
        <v>0</v>
      </c>
      <c r="AI362" s="10" t="s">
        <v>126</v>
      </c>
      <c r="AJ362" s="10"/>
      <c r="AK362" s="29"/>
      <c r="AL362" s="12">
        <v>1.5</v>
      </c>
      <c r="AM362" s="10"/>
      <c r="AN362" s="12">
        <f>FAR[[#This Row],[Opening RUL]]+FAR[[#This Row],[RUL Adjustment]]</f>
        <v>1.5</v>
      </c>
      <c r="AO362" s="12">
        <f>FAR[[#This Row],[Opening RUL 30 June 2026]]-1</f>
        <v>0.5</v>
      </c>
      <c r="AP362" s="12" t="s">
        <v>1050</v>
      </c>
      <c r="AQ362" s="139"/>
      <c r="AR362" s="10" t="s">
        <v>127</v>
      </c>
      <c r="AS362" s="13">
        <v>1537.46</v>
      </c>
      <c r="AT362" s="13"/>
      <c r="AU362" s="13">
        <v>0</v>
      </c>
      <c r="AV362" s="13">
        <v>0</v>
      </c>
      <c r="AW362" s="13">
        <v>0</v>
      </c>
      <c r="AX362" s="13">
        <v>1537.46</v>
      </c>
      <c r="AY362" s="13">
        <v>65.891142857142768</v>
      </c>
      <c r="AZ362" s="13">
        <v>0</v>
      </c>
      <c r="BA362" s="13"/>
      <c r="BB362" s="13"/>
      <c r="BC362" s="13">
        <v>-1471.5688571428573</v>
      </c>
      <c r="BD362" s="13"/>
      <c r="BE362" s="13" t="s">
        <v>114</v>
      </c>
      <c r="BF362" s="29"/>
      <c r="BG362" s="13"/>
      <c r="BH362" s="13">
        <f>-FAR[[#This Row],[Carrying value (opening balance)]]/FAR[[#This Row],[Opening RUL 30 June 2026]]</f>
        <v>-43.927428571428514</v>
      </c>
      <c r="BI362" s="13">
        <f>FAR[[#This Row],[Depreciation YTD]]/12</f>
        <v>-3.660619047619043</v>
      </c>
      <c r="BJ362" s="13"/>
      <c r="BK362" s="13" t="s">
        <v>116</v>
      </c>
      <c r="BL362" s="13">
        <v>0</v>
      </c>
      <c r="BM362" s="13">
        <f>FAR[[#This Row],[Accumulated depreciation (Opening balance)]]+FAR[[#This Row],[Depreciation YTD]]+FAR[[#This Row],[Derecognitions (acc dep) '[+']]]</f>
        <v>-1515.4962857142857</v>
      </c>
      <c r="BN362" s="13"/>
      <c r="BO362" s="13"/>
      <c r="BP362" s="13"/>
      <c r="BQ362" s="13"/>
      <c r="BR36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62" s="13">
        <f>FAR[[#This Row],[Cost Price (closing balance)]]+FAR[[#This Row],[Accumulated depreciation (Closing balance)]]+FAR[[#This Row],[Accumulated impairments (Closing balance)]]</f>
        <v>21.963714285714332</v>
      </c>
      <c r="BT362" s="13"/>
      <c r="BU362" s="13"/>
      <c r="BV362" s="13"/>
      <c r="BW362" s="10" t="s">
        <v>167</v>
      </c>
      <c r="BX362" s="9" t="s">
        <v>168</v>
      </c>
      <c r="BY362" s="10"/>
      <c r="BZ362" t="s">
        <v>969</v>
      </c>
      <c r="CA362"/>
      <c r="CB362" s="34"/>
      <c r="CC362" s="34"/>
      <c r="CD362" s="34"/>
      <c r="CE362" s="141"/>
    </row>
    <row r="363" spans="1:83">
      <c r="A363" s="35">
        <v>1081</v>
      </c>
      <c r="B363" s="9" t="s">
        <v>860</v>
      </c>
      <c r="C363" s="9" t="s">
        <v>54</v>
      </c>
      <c r="D363" s="10" t="s">
        <v>1</v>
      </c>
      <c r="E363" s="9" t="s">
        <v>115</v>
      </c>
      <c r="F363" s="36" t="s">
        <v>99</v>
      </c>
      <c r="G363" s="9" t="s">
        <v>100</v>
      </c>
      <c r="H363" s="3" t="s">
        <v>103</v>
      </c>
      <c r="I363" s="9" t="s">
        <v>100</v>
      </c>
      <c r="J363" s="36" t="s">
        <v>101</v>
      </c>
      <c r="K363" s="10" t="s">
        <v>559</v>
      </c>
      <c r="L363" s="10" t="s">
        <v>559</v>
      </c>
      <c r="M363" s="9" t="s">
        <v>100</v>
      </c>
      <c r="N363" s="10" t="s">
        <v>726</v>
      </c>
      <c r="O363" s="9" t="s">
        <v>100</v>
      </c>
      <c r="P363" s="10"/>
      <c r="Q363" s="10" t="s">
        <v>726</v>
      </c>
      <c r="R363" s="10" t="s">
        <v>119</v>
      </c>
      <c r="S363" s="10" t="s">
        <v>130</v>
      </c>
      <c r="T363" s="10" t="s">
        <v>120</v>
      </c>
      <c r="U363" s="10" t="s">
        <v>101</v>
      </c>
      <c r="V363" s="10" t="s">
        <v>121</v>
      </c>
      <c r="W363" s="10" t="s">
        <v>122</v>
      </c>
      <c r="X363" s="10" t="s">
        <v>123</v>
      </c>
      <c r="Y363" s="29">
        <v>1</v>
      </c>
      <c r="Z363" s="138" t="s">
        <v>675</v>
      </c>
      <c r="AA363" s="138">
        <v>43047</v>
      </c>
      <c r="AB363" s="9" t="s">
        <v>114</v>
      </c>
      <c r="AC363" s="9" t="s">
        <v>124</v>
      </c>
      <c r="AD363" s="15">
        <v>44651</v>
      </c>
      <c r="AE363" s="39" t="s">
        <v>125</v>
      </c>
      <c r="AF363" s="177">
        <v>3</v>
      </c>
      <c r="AG363" s="140">
        <v>0</v>
      </c>
      <c r="AH363" s="9">
        <v>0</v>
      </c>
      <c r="AI363" s="10" t="s">
        <v>126</v>
      </c>
      <c r="AJ363" s="10"/>
      <c r="AK363" s="29"/>
      <c r="AL363" s="12">
        <v>1.5</v>
      </c>
      <c r="AM363" s="10"/>
      <c r="AN363" s="12">
        <f>FAR[[#This Row],[Opening RUL]]+FAR[[#This Row],[RUL Adjustment]]</f>
        <v>1.5</v>
      </c>
      <c r="AO363" s="12">
        <f>FAR[[#This Row],[Opening RUL 30 June 2026]]-1</f>
        <v>0.5</v>
      </c>
      <c r="AP363" s="12" t="s">
        <v>1050</v>
      </c>
      <c r="AQ363" s="139"/>
      <c r="AR363" s="10" t="s">
        <v>127</v>
      </c>
      <c r="AS363" s="13">
        <v>2229.9</v>
      </c>
      <c r="AT363" s="13"/>
      <c r="AU363" s="13">
        <v>0</v>
      </c>
      <c r="AV363" s="13">
        <v>0</v>
      </c>
      <c r="AW363" s="13">
        <v>0</v>
      </c>
      <c r="AX363" s="13">
        <v>2229.9</v>
      </c>
      <c r="AY363" s="13">
        <v>95.567142857142699</v>
      </c>
      <c r="AZ363" s="13">
        <v>0</v>
      </c>
      <c r="BA363" s="13"/>
      <c r="BB363" s="13"/>
      <c r="BC363" s="13">
        <v>-2134.3328571428574</v>
      </c>
      <c r="BD363" s="13"/>
      <c r="BE363" s="13" t="s">
        <v>114</v>
      </c>
      <c r="BF363" s="29"/>
      <c r="BG363" s="13"/>
      <c r="BH363" s="13">
        <f>-FAR[[#This Row],[Carrying value (opening balance)]]/FAR[[#This Row],[Opening RUL 30 June 2026]]</f>
        <v>-63.711428571428463</v>
      </c>
      <c r="BI363" s="13">
        <f>FAR[[#This Row],[Depreciation YTD]]/12</f>
        <v>-5.3092857142857053</v>
      </c>
      <c r="BJ363" s="13"/>
      <c r="BK363" s="13" t="s">
        <v>116</v>
      </c>
      <c r="BL363" s="13">
        <v>0</v>
      </c>
      <c r="BM363" s="13">
        <f>FAR[[#This Row],[Accumulated depreciation (Opening balance)]]+FAR[[#This Row],[Depreciation YTD]]+FAR[[#This Row],[Derecognitions (acc dep) '[+']]]</f>
        <v>-2198.0442857142857</v>
      </c>
      <c r="BN363" s="13"/>
      <c r="BO363" s="13"/>
      <c r="BP363" s="13"/>
      <c r="BQ363" s="13"/>
      <c r="BR36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63" s="13">
        <f>FAR[[#This Row],[Cost Price (closing balance)]]+FAR[[#This Row],[Accumulated depreciation (Closing balance)]]+FAR[[#This Row],[Accumulated impairments (Closing balance)]]</f>
        <v>31.855714285714384</v>
      </c>
      <c r="BT363" s="13"/>
      <c r="BU363" s="13"/>
      <c r="BV363" s="13"/>
      <c r="BW363" s="10" t="s">
        <v>167</v>
      </c>
      <c r="BX363" s="9" t="s">
        <v>168</v>
      </c>
      <c r="BY363" s="10"/>
      <c r="BZ363" t="s">
        <v>945</v>
      </c>
      <c r="CA363"/>
      <c r="CB363" s="34"/>
      <c r="CC363" s="34"/>
      <c r="CD363" s="34"/>
      <c r="CE363" s="141"/>
    </row>
    <row r="364" spans="1:83">
      <c r="A364" s="35">
        <v>1074</v>
      </c>
      <c r="B364" s="9" t="s">
        <v>920</v>
      </c>
      <c r="C364" s="9" t="s">
        <v>54</v>
      </c>
      <c r="D364" s="10" t="s">
        <v>1</v>
      </c>
      <c r="E364" s="9" t="s">
        <v>115</v>
      </c>
      <c r="F364" s="36" t="s">
        <v>99</v>
      </c>
      <c r="G364" s="9" t="s">
        <v>100</v>
      </c>
      <c r="H364" s="3" t="s">
        <v>103</v>
      </c>
      <c r="I364" s="9" t="s">
        <v>100</v>
      </c>
      <c r="J364" s="36" t="s">
        <v>101</v>
      </c>
      <c r="K364" s="10" t="s">
        <v>559</v>
      </c>
      <c r="L364" s="10" t="s">
        <v>559</v>
      </c>
      <c r="M364" s="9" t="s">
        <v>100</v>
      </c>
      <c r="N364" s="10" t="s">
        <v>727</v>
      </c>
      <c r="O364" s="9" t="s">
        <v>100</v>
      </c>
      <c r="P364" s="10"/>
      <c r="Q364" s="10" t="s">
        <v>727</v>
      </c>
      <c r="R364" s="10" t="s">
        <v>119</v>
      </c>
      <c r="S364" s="10" t="s">
        <v>130</v>
      </c>
      <c r="T364" s="10" t="s">
        <v>120</v>
      </c>
      <c r="U364" s="10" t="s">
        <v>101</v>
      </c>
      <c r="V364" s="10" t="s">
        <v>121</v>
      </c>
      <c r="W364" s="10" t="s">
        <v>122</v>
      </c>
      <c r="X364" s="10" t="s">
        <v>123</v>
      </c>
      <c r="Y364" s="29">
        <v>1</v>
      </c>
      <c r="Z364" s="138" t="s">
        <v>675</v>
      </c>
      <c r="AA364" s="138">
        <v>43047</v>
      </c>
      <c r="AB364" s="9" t="s">
        <v>114</v>
      </c>
      <c r="AC364" s="9" t="s">
        <v>124</v>
      </c>
      <c r="AD364" s="15">
        <v>44651</v>
      </c>
      <c r="AE364" s="39" t="s">
        <v>125</v>
      </c>
      <c r="AF364" s="177">
        <v>3</v>
      </c>
      <c r="AG364" s="140">
        <v>0</v>
      </c>
      <c r="AH364" s="9">
        <v>0</v>
      </c>
      <c r="AI364" s="10" t="s">
        <v>126</v>
      </c>
      <c r="AJ364" s="10"/>
      <c r="AK364" s="29"/>
      <c r="AL364" s="12">
        <v>0</v>
      </c>
      <c r="AM364" s="10"/>
      <c r="AN364" s="12">
        <f>FAR[[#This Row],[Opening RUL]]+FAR[[#This Row],[RUL Adjustment]]</f>
        <v>0</v>
      </c>
      <c r="AO364" s="12">
        <f>FAR[[#This Row],[Opening RUL 30 June 2026]]-1</f>
        <v>-1</v>
      </c>
      <c r="AP364" s="12" t="s">
        <v>1051</v>
      </c>
      <c r="AQ364" s="139"/>
      <c r="AR364" s="10" t="s">
        <v>127</v>
      </c>
      <c r="AS364" s="13">
        <v>33058.35</v>
      </c>
      <c r="AT364" s="13"/>
      <c r="AU364" s="13">
        <v>0</v>
      </c>
      <c r="AV364" s="13"/>
      <c r="AW364" s="13">
        <v>0</v>
      </c>
      <c r="AX364" s="13">
        <v>33058.35</v>
      </c>
      <c r="AY364" s="13">
        <v>0</v>
      </c>
      <c r="AZ364" s="13">
        <v>0</v>
      </c>
      <c r="BA364" s="13"/>
      <c r="BB364" s="13"/>
      <c r="BC364" s="13">
        <v>-33058.35</v>
      </c>
      <c r="BD364" s="13"/>
      <c r="BE364" s="13" t="s">
        <v>114</v>
      </c>
      <c r="BF364" s="29"/>
      <c r="BG364" s="13"/>
      <c r="BH364" s="13">
        <f>-FAR[[#This Row],[Carrying value (opening balance)]]</f>
        <v>0</v>
      </c>
      <c r="BI364" s="13">
        <f>FAR[[#This Row],[Depreciation YTD]]/12</f>
        <v>0</v>
      </c>
      <c r="BJ364" s="13"/>
      <c r="BK364" s="13" t="s">
        <v>116</v>
      </c>
      <c r="BL364" s="13">
        <v>0</v>
      </c>
      <c r="BM364" s="13">
        <f>FAR[[#This Row],[Accumulated depreciation (Opening balance)]]+FAR[[#This Row],[Depreciation YTD]]+FAR[[#This Row],[Derecognitions (acc dep) '[+']]]</f>
        <v>-33058.35</v>
      </c>
      <c r="BN364" s="13"/>
      <c r="BO364" s="13"/>
      <c r="BP364" s="13"/>
      <c r="BQ364" s="13"/>
      <c r="BR36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64" s="13">
        <f>FAR[[#This Row],[Cost Price (closing balance)]]+FAR[[#This Row],[Accumulated depreciation (Closing balance)]]+FAR[[#This Row],[Accumulated impairments (Closing balance)]]</f>
        <v>0</v>
      </c>
      <c r="BT364" s="13"/>
      <c r="BU364" s="13"/>
      <c r="BV364" s="13"/>
      <c r="BW364" s="10" t="s">
        <v>167</v>
      </c>
      <c r="BX364" s="9" t="s">
        <v>168</v>
      </c>
      <c r="BY364" s="10"/>
      <c r="BZ364" t="s">
        <v>945</v>
      </c>
      <c r="CA364"/>
      <c r="CB364" s="34"/>
      <c r="CC364" s="34"/>
      <c r="CD364" s="34"/>
      <c r="CE364" s="141"/>
    </row>
    <row r="365" spans="1:83">
      <c r="A365" s="35" t="s">
        <v>793</v>
      </c>
      <c r="B365" s="9" t="s">
        <v>923</v>
      </c>
      <c r="C365" s="9" t="s">
        <v>54</v>
      </c>
      <c r="D365" s="10" t="s">
        <v>1</v>
      </c>
      <c r="E365" s="9" t="s">
        <v>115</v>
      </c>
      <c r="F365" s="36" t="s">
        <v>99</v>
      </c>
      <c r="G365" s="9" t="s">
        <v>100</v>
      </c>
      <c r="H365" s="3" t="s">
        <v>103</v>
      </c>
      <c r="I365" s="9" t="s">
        <v>100</v>
      </c>
      <c r="J365" s="36" t="s">
        <v>101</v>
      </c>
      <c r="K365" s="10" t="s">
        <v>559</v>
      </c>
      <c r="L365" s="10" t="s">
        <v>559</v>
      </c>
      <c r="M365" s="9" t="s">
        <v>100</v>
      </c>
      <c r="N365" s="10" t="s">
        <v>723</v>
      </c>
      <c r="O365" s="9" t="s">
        <v>100</v>
      </c>
      <c r="P365" s="10"/>
      <c r="Q365" s="10" t="s">
        <v>723</v>
      </c>
      <c r="R365" s="10" t="s">
        <v>119</v>
      </c>
      <c r="S365" s="10" t="s">
        <v>130</v>
      </c>
      <c r="T365" s="10" t="s">
        <v>120</v>
      </c>
      <c r="U365" s="10" t="s">
        <v>101</v>
      </c>
      <c r="V365" s="10" t="s">
        <v>121</v>
      </c>
      <c r="W365" s="10" t="s">
        <v>122</v>
      </c>
      <c r="X365" s="10" t="s">
        <v>123</v>
      </c>
      <c r="Y365" s="29">
        <v>1</v>
      </c>
      <c r="Z365" s="138" t="s">
        <v>758</v>
      </c>
      <c r="AA365" s="138">
        <v>43336</v>
      </c>
      <c r="AB365" s="9" t="s">
        <v>114</v>
      </c>
      <c r="AC365" s="9" t="s">
        <v>124</v>
      </c>
      <c r="AD365" s="15">
        <v>44651</v>
      </c>
      <c r="AE365" s="39" t="s">
        <v>125</v>
      </c>
      <c r="AF365" s="177">
        <v>3</v>
      </c>
      <c r="AG365" s="140">
        <v>0</v>
      </c>
      <c r="AH365" s="9">
        <v>0</v>
      </c>
      <c r="AI365" s="10" t="s">
        <v>126</v>
      </c>
      <c r="AJ365" s="10"/>
      <c r="AK365" s="29"/>
      <c r="AL365" s="12">
        <v>1.5</v>
      </c>
      <c r="AM365" s="10"/>
      <c r="AN365" s="12">
        <f>FAR[[#This Row],[Opening RUL]]+FAR[[#This Row],[RUL Adjustment]]</f>
        <v>1.5</v>
      </c>
      <c r="AO365" s="12">
        <f>FAR[[#This Row],[Opening RUL 30 June 2026]]-1</f>
        <v>0.5</v>
      </c>
      <c r="AP365" s="12" t="s">
        <v>1050</v>
      </c>
      <c r="AQ365" s="139"/>
      <c r="AR365" s="10" t="s">
        <v>127</v>
      </c>
      <c r="AS365" s="13">
        <v>28678.44</v>
      </c>
      <c r="AT365" s="13"/>
      <c r="AU365" s="13">
        <v>0</v>
      </c>
      <c r="AV365" s="13">
        <v>0</v>
      </c>
      <c r="AW365" s="13">
        <v>0</v>
      </c>
      <c r="AX365" s="13">
        <v>28678.44</v>
      </c>
      <c r="AY365" s="13">
        <v>1229.0760000000009</v>
      </c>
      <c r="AZ365" s="13">
        <v>0</v>
      </c>
      <c r="BA365" s="13"/>
      <c r="BB365" s="13"/>
      <c r="BC365" s="13">
        <v>-27449.363999999998</v>
      </c>
      <c r="BD365" s="13"/>
      <c r="BE365" s="13" t="s">
        <v>114</v>
      </c>
      <c r="BF365" s="29"/>
      <c r="BG365" s="13"/>
      <c r="BH365" s="13">
        <f>-FAR[[#This Row],[Carrying value (opening balance)]]/FAR[[#This Row],[Opening RUL 30 June 2026]]</f>
        <v>-819.38400000000058</v>
      </c>
      <c r="BI365" s="13">
        <f>FAR[[#This Row],[Depreciation YTD]]/12</f>
        <v>-68.282000000000053</v>
      </c>
      <c r="BJ365" s="13"/>
      <c r="BK365" s="13" t="s">
        <v>116</v>
      </c>
      <c r="BL365" s="13">
        <v>0</v>
      </c>
      <c r="BM365" s="13">
        <f>FAR[[#This Row],[Accumulated depreciation (Opening balance)]]+FAR[[#This Row],[Depreciation YTD]]+FAR[[#This Row],[Derecognitions (acc dep) '[+']]]</f>
        <v>-28268.748</v>
      </c>
      <c r="BN365" s="13"/>
      <c r="BO365" s="13"/>
      <c r="BP365" s="13"/>
      <c r="BQ365" s="13"/>
      <c r="BR36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65" s="13">
        <f>FAR[[#This Row],[Cost Price (closing balance)]]+FAR[[#This Row],[Accumulated depreciation (Closing balance)]]+FAR[[#This Row],[Accumulated impairments (Closing balance)]]</f>
        <v>409.6919999999991</v>
      </c>
      <c r="BT365" s="13"/>
      <c r="BU365" s="13"/>
      <c r="BV365" s="13"/>
      <c r="BW365" s="10" t="s">
        <v>167</v>
      </c>
      <c r="BX365" s="9" t="s">
        <v>168</v>
      </c>
      <c r="BY365" s="10"/>
      <c r="BZ365" t="s">
        <v>1027</v>
      </c>
      <c r="CA365"/>
      <c r="CB365" s="34"/>
      <c r="CC365" s="34"/>
      <c r="CD365" s="34"/>
      <c r="CE365" s="141"/>
    </row>
    <row r="366" spans="1:83">
      <c r="A366" s="35">
        <v>1265</v>
      </c>
      <c r="B366" s="9" t="s">
        <v>867</v>
      </c>
      <c r="C366" s="9" t="s">
        <v>54</v>
      </c>
      <c r="D366" s="10" t="s">
        <v>1</v>
      </c>
      <c r="E366" s="9" t="s">
        <v>115</v>
      </c>
      <c r="F366" s="36" t="s">
        <v>99</v>
      </c>
      <c r="G366" s="9" t="s">
        <v>100</v>
      </c>
      <c r="H366" s="3" t="s">
        <v>103</v>
      </c>
      <c r="I366" s="9" t="s">
        <v>100</v>
      </c>
      <c r="J366" s="36" t="s">
        <v>101</v>
      </c>
      <c r="K366" s="10" t="s">
        <v>559</v>
      </c>
      <c r="L366" s="10" t="s">
        <v>559</v>
      </c>
      <c r="M366" s="9" t="s">
        <v>100</v>
      </c>
      <c r="N366" s="10" t="s">
        <v>728</v>
      </c>
      <c r="O366" s="9" t="s">
        <v>100</v>
      </c>
      <c r="P366" s="10"/>
      <c r="Q366" s="10" t="s">
        <v>728</v>
      </c>
      <c r="R366" s="10" t="s">
        <v>119</v>
      </c>
      <c r="S366" s="10" t="s">
        <v>130</v>
      </c>
      <c r="T366" s="10" t="s">
        <v>120</v>
      </c>
      <c r="U366" s="10" t="s">
        <v>101</v>
      </c>
      <c r="V366" s="10" t="s">
        <v>121</v>
      </c>
      <c r="W366" s="10" t="s">
        <v>122</v>
      </c>
      <c r="X366" s="10" t="s">
        <v>123</v>
      </c>
      <c r="Y366" s="29">
        <v>1</v>
      </c>
      <c r="Z366" s="138" t="s">
        <v>759</v>
      </c>
      <c r="AA366" s="138">
        <v>43328</v>
      </c>
      <c r="AB366" s="9" t="s">
        <v>114</v>
      </c>
      <c r="AC366" s="9" t="s">
        <v>124</v>
      </c>
      <c r="AD366" s="15">
        <v>44651</v>
      </c>
      <c r="AE366" s="39" t="s">
        <v>125</v>
      </c>
      <c r="AF366" s="177">
        <v>3</v>
      </c>
      <c r="AG366" s="140">
        <v>0</v>
      </c>
      <c r="AH366" s="9">
        <v>0</v>
      </c>
      <c r="AI366" s="10" t="s">
        <v>126</v>
      </c>
      <c r="AJ366" s="10"/>
      <c r="AK366" s="29"/>
      <c r="AL366" s="12">
        <v>1.5</v>
      </c>
      <c r="AM366" s="10"/>
      <c r="AN366" s="12">
        <f>FAR[[#This Row],[Opening RUL]]+FAR[[#This Row],[RUL Adjustment]]</f>
        <v>1.5</v>
      </c>
      <c r="AO366" s="12">
        <f>FAR[[#This Row],[Opening RUL 30 June 2026]]-1</f>
        <v>0.5</v>
      </c>
      <c r="AP366" s="12" t="s">
        <v>1052</v>
      </c>
      <c r="AQ366" s="139"/>
      <c r="AR366" s="10" t="s">
        <v>127</v>
      </c>
      <c r="AS366" s="13">
        <v>28678.44</v>
      </c>
      <c r="AT366" s="13"/>
      <c r="AU366" s="13">
        <v>0</v>
      </c>
      <c r="AV366" s="13">
        <v>0</v>
      </c>
      <c r="AW366" s="13">
        <v>0</v>
      </c>
      <c r="AX366" s="13">
        <v>28678.44</v>
      </c>
      <c r="AY366" s="13">
        <v>1229.0760000000009</v>
      </c>
      <c r="AZ366" s="13">
        <v>0</v>
      </c>
      <c r="BA366" s="13"/>
      <c r="BB366" s="13"/>
      <c r="BC366" s="13">
        <v>-27449.363999999998</v>
      </c>
      <c r="BD366" s="13"/>
      <c r="BE366" s="13" t="s">
        <v>114</v>
      </c>
      <c r="BF366" s="29"/>
      <c r="BG366" s="13"/>
      <c r="BH366" s="13">
        <f>-FAR[[#This Row],[Carrying value (opening balance)]]/FAR[[#This Row],[Opening RUL 30 June 2026]]</f>
        <v>-819.38400000000058</v>
      </c>
      <c r="BI366" s="13">
        <f>FAR[[#This Row],[Depreciation YTD]]/12</f>
        <v>-68.282000000000053</v>
      </c>
      <c r="BJ366" s="13"/>
      <c r="BK366" s="13" t="s">
        <v>116</v>
      </c>
      <c r="BL366" s="13">
        <v>0</v>
      </c>
      <c r="BM366" s="13">
        <f>FAR[[#This Row],[Accumulated depreciation (Opening balance)]]+FAR[[#This Row],[Depreciation YTD]]+FAR[[#This Row],[Derecognitions (acc dep) '[+']]]</f>
        <v>-28268.748</v>
      </c>
      <c r="BN366" s="13"/>
      <c r="BO366" s="13"/>
      <c r="BP366" s="13"/>
      <c r="BQ366" s="13"/>
      <c r="BR36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66" s="13">
        <f>FAR[[#This Row],[Cost Price (closing balance)]]+FAR[[#This Row],[Accumulated depreciation (Closing balance)]]+FAR[[#This Row],[Accumulated impairments (Closing balance)]]</f>
        <v>409.6919999999991</v>
      </c>
      <c r="BT366" s="13"/>
      <c r="BU366" s="13"/>
      <c r="BV366" s="13"/>
      <c r="BW366" s="10" t="s">
        <v>167</v>
      </c>
      <c r="BX366" s="9" t="s">
        <v>168</v>
      </c>
      <c r="BY366" s="10"/>
      <c r="BZ366" t="s">
        <v>951</v>
      </c>
      <c r="CA366"/>
      <c r="CB366" s="34"/>
      <c r="CC366" s="34"/>
      <c r="CD366" s="34"/>
      <c r="CE366" s="141"/>
    </row>
    <row r="367" spans="1:83">
      <c r="A367" s="35">
        <v>1110</v>
      </c>
      <c r="B367" s="9" t="s">
        <v>859</v>
      </c>
      <c r="C367" s="9" t="s">
        <v>54</v>
      </c>
      <c r="D367" s="10" t="s">
        <v>1</v>
      </c>
      <c r="E367" s="9" t="s">
        <v>115</v>
      </c>
      <c r="F367" s="36" t="s">
        <v>99</v>
      </c>
      <c r="G367" s="9" t="s">
        <v>100</v>
      </c>
      <c r="H367" s="3" t="s">
        <v>103</v>
      </c>
      <c r="I367" s="9" t="s">
        <v>100</v>
      </c>
      <c r="J367" s="36" t="s">
        <v>101</v>
      </c>
      <c r="K367" s="10" t="s">
        <v>559</v>
      </c>
      <c r="L367" s="10" t="s">
        <v>559</v>
      </c>
      <c r="M367" s="9" t="s">
        <v>100</v>
      </c>
      <c r="N367" s="10" t="s">
        <v>729</v>
      </c>
      <c r="O367" s="9" t="s">
        <v>100</v>
      </c>
      <c r="P367" s="10"/>
      <c r="Q367" s="10" t="s">
        <v>729</v>
      </c>
      <c r="R367" s="10" t="s">
        <v>119</v>
      </c>
      <c r="S367" s="10" t="s">
        <v>130</v>
      </c>
      <c r="T367" s="10" t="s">
        <v>120</v>
      </c>
      <c r="U367" s="10" t="s">
        <v>101</v>
      </c>
      <c r="V367" s="10" t="s">
        <v>121</v>
      </c>
      <c r="W367" s="10" t="s">
        <v>122</v>
      </c>
      <c r="X367" s="10" t="s">
        <v>123</v>
      </c>
      <c r="Y367" s="29">
        <v>1</v>
      </c>
      <c r="Z367" s="138" t="s">
        <v>760</v>
      </c>
      <c r="AA367" s="138">
        <v>43314</v>
      </c>
      <c r="AB367" s="9" t="s">
        <v>114</v>
      </c>
      <c r="AC367" s="9" t="s">
        <v>124</v>
      </c>
      <c r="AD367" s="15">
        <v>44651</v>
      </c>
      <c r="AE367" s="39" t="s">
        <v>125</v>
      </c>
      <c r="AF367" s="177">
        <v>3</v>
      </c>
      <c r="AG367" s="140">
        <v>0</v>
      </c>
      <c r="AH367" s="9">
        <v>0</v>
      </c>
      <c r="AI367" s="10" t="s">
        <v>126</v>
      </c>
      <c r="AJ367" s="10"/>
      <c r="AK367" s="29"/>
      <c r="AL367" s="12">
        <v>1.5</v>
      </c>
      <c r="AM367" s="10"/>
      <c r="AN367" s="12">
        <f>FAR[[#This Row],[Opening RUL]]+FAR[[#This Row],[RUL Adjustment]]</f>
        <v>1.5</v>
      </c>
      <c r="AO367" s="12">
        <f>FAR[[#This Row],[Opening RUL 30 June 2026]]-1</f>
        <v>0.5</v>
      </c>
      <c r="AP367" s="12" t="s">
        <v>1050</v>
      </c>
      <c r="AQ367" s="139"/>
      <c r="AR367" s="10" t="s">
        <v>127</v>
      </c>
      <c r="AS367" s="13">
        <v>15659.36</v>
      </c>
      <c r="AT367" s="13"/>
      <c r="AU367" s="13">
        <v>0</v>
      </c>
      <c r="AV367" s="13"/>
      <c r="AW367" s="13">
        <v>0</v>
      </c>
      <c r="AX367" s="13">
        <v>15659.36</v>
      </c>
      <c r="AY367" s="13">
        <v>671.1154285714274</v>
      </c>
      <c r="AZ367" s="13">
        <v>0</v>
      </c>
      <c r="BA367" s="13"/>
      <c r="BB367" s="13"/>
      <c r="BC367" s="13">
        <v>-14988.244571428573</v>
      </c>
      <c r="BD367" s="13"/>
      <c r="BE367" s="13" t="s">
        <v>114</v>
      </c>
      <c r="BF367" s="29"/>
      <c r="BG367" s="13"/>
      <c r="BH367" s="13">
        <f>-FAR[[#This Row],[Carrying value (opening balance)]]/FAR[[#This Row],[Opening RUL 30 June 2026]]</f>
        <v>-447.41028571428495</v>
      </c>
      <c r="BI367" s="13">
        <f>FAR[[#This Row],[Depreciation YTD]]/12</f>
        <v>-37.28419047619041</v>
      </c>
      <c r="BJ367" s="13"/>
      <c r="BK367" s="13" t="s">
        <v>116</v>
      </c>
      <c r="BL367" s="13">
        <v>0</v>
      </c>
      <c r="BM367" s="13">
        <f>FAR[[#This Row],[Accumulated depreciation (Opening balance)]]+FAR[[#This Row],[Depreciation YTD]]+FAR[[#This Row],[Derecognitions (acc dep) '[+']]]</f>
        <v>-15435.654857142858</v>
      </c>
      <c r="BN367" s="13"/>
      <c r="BO367" s="13"/>
      <c r="BP367" s="13"/>
      <c r="BQ367" s="13"/>
      <c r="BR36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67" s="13">
        <f>FAR[[#This Row],[Cost Price (closing balance)]]+FAR[[#This Row],[Accumulated depreciation (Closing balance)]]+FAR[[#This Row],[Accumulated impairments (Closing balance)]]</f>
        <v>223.70514285714307</v>
      </c>
      <c r="BT367" s="13"/>
      <c r="BU367" s="13"/>
      <c r="BV367" s="13"/>
      <c r="BW367" s="10" t="s">
        <v>167</v>
      </c>
      <c r="BX367" s="9" t="s">
        <v>168</v>
      </c>
      <c r="BY367" s="10"/>
      <c r="BZ367" t="s">
        <v>1028</v>
      </c>
      <c r="CA367"/>
      <c r="CB367" s="34"/>
      <c r="CC367" s="34"/>
      <c r="CD367" s="34"/>
      <c r="CE367" s="141"/>
    </row>
    <row r="368" spans="1:83">
      <c r="A368" s="35">
        <v>1293</v>
      </c>
      <c r="B368" s="9" t="s">
        <v>932</v>
      </c>
      <c r="C368" s="9" t="s">
        <v>54</v>
      </c>
      <c r="D368" s="10" t="s">
        <v>1</v>
      </c>
      <c r="E368" s="9" t="s">
        <v>115</v>
      </c>
      <c r="F368" s="36" t="s">
        <v>99</v>
      </c>
      <c r="G368" s="9" t="s">
        <v>100</v>
      </c>
      <c r="H368" s="3" t="s">
        <v>103</v>
      </c>
      <c r="I368" s="9" t="s">
        <v>100</v>
      </c>
      <c r="J368" s="36" t="s">
        <v>101</v>
      </c>
      <c r="K368" s="10" t="s">
        <v>559</v>
      </c>
      <c r="L368" s="10" t="s">
        <v>559</v>
      </c>
      <c r="M368" s="9" t="s">
        <v>100</v>
      </c>
      <c r="N368" s="10" t="s">
        <v>730</v>
      </c>
      <c r="O368" s="9" t="s">
        <v>100</v>
      </c>
      <c r="P368" s="10"/>
      <c r="Q368" s="10" t="s">
        <v>730</v>
      </c>
      <c r="R368" s="10" t="s">
        <v>119</v>
      </c>
      <c r="S368" s="10" t="s">
        <v>130</v>
      </c>
      <c r="T368" s="10" t="s">
        <v>120</v>
      </c>
      <c r="U368" s="10" t="s">
        <v>101</v>
      </c>
      <c r="V368" s="10" t="s">
        <v>121</v>
      </c>
      <c r="W368" s="10" t="s">
        <v>122</v>
      </c>
      <c r="X368" s="10" t="s">
        <v>123</v>
      </c>
      <c r="Y368" s="29">
        <v>1</v>
      </c>
      <c r="Z368" s="138" t="s">
        <v>679</v>
      </c>
      <c r="AA368" s="138">
        <v>43375</v>
      </c>
      <c r="AB368" s="9" t="s">
        <v>114</v>
      </c>
      <c r="AC368" s="9" t="s">
        <v>124</v>
      </c>
      <c r="AD368" s="15">
        <v>44651</v>
      </c>
      <c r="AE368" s="39" t="s">
        <v>125</v>
      </c>
      <c r="AF368" s="177">
        <v>3</v>
      </c>
      <c r="AG368" s="140">
        <v>0</v>
      </c>
      <c r="AH368" s="9">
        <v>0</v>
      </c>
      <c r="AI368" s="10" t="s">
        <v>126</v>
      </c>
      <c r="AJ368" s="10"/>
      <c r="AK368" s="29"/>
      <c r="AL368" s="12">
        <v>1.5</v>
      </c>
      <c r="AM368" s="10"/>
      <c r="AN368" s="12">
        <f>FAR[[#This Row],[Opening RUL]]+FAR[[#This Row],[RUL Adjustment]]</f>
        <v>1.5</v>
      </c>
      <c r="AO368" s="12">
        <f>FAR[[#This Row],[Opening RUL 30 June 2026]]-1</f>
        <v>0.5</v>
      </c>
      <c r="AP368" s="12" t="s">
        <v>1050</v>
      </c>
      <c r="AQ368" s="139"/>
      <c r="AR368" s="10" t="s">
        <v>127</v>
      </c>
      <c r="AS368" s="13">
        <v>28678.44</v>
      </c>
      <c r="AT368" s="13"/>
      <c r="AU368" s="13">
        <v>0</v>
      </c>
      <c r="AV368" s="13">
        <v>0</v>
      </c>
      <c r="AW368" s="13">
        <v>0</v>
      </c>
      <c r="AX368" s="13">
        <v>28678.44</v>
      </c>
      <c r="AY368" s="13">
        <v>1229.0760000000009</v>
      </c>
      <c r="AZ368" s="13">
        <v>0</v>
      </c>
      <c r="BA368" s="13"/>
      <c r="BB368" s="13"/>
      <c r="BC368" s="13">
        <v>-27449.363999999998</v>
      </c>
      <c r="BD368" s="13"/>
      <c r="BE368" s="13" t="s">
        <v>114</v>
      </c>
      <c r="BF368" s="29"/>
      <c r="BG368" s="13"/>
      <c r="BH368" s="13">
        <f>-FAR[[#This Row],[Carrying value (opening balance)]]/FAR[[#This Row],[Opening RUL 30 June 2026]]</f>
        <v>-819.38400000000058</v>
      </c>
      <c r="BI368" s="13">
        <f>FAR[[#This Row],[Depreciation YTD]]/12</f>
        <v>-68.282000000000053</v>
      </c>
      <c r="BJ368" s="13"/>
      <c r="BK368" s="13" t="s">
        <v>116</v>
      </c>
      <c r="BL368" s="13">
        <v>0</v>
      </c>
      <c r="BM368" s="13">
        <f>FAR[[#This Row],[Accumulated depreciation (Opening balance)]]+FAR[[#This Row],[Depreciation YTD]]+FAR[[#This Row],[Derecognitions (acc dep) '[+']]]</f>
        <v>-28268.748</v>
      </c>
      <c r="BN368" s="13"/>
      <c r="BO368" s="13"/>
      <c r="BP368" s="13"/>
      <c r="BQ368" s="13"/>
      <c r="BR36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68" s="13">
        <f>FAR[[#This Row],[Cost Price (closing balance)]]+FAR[[#This Row],[Accumulated depreciation (Closing balance)]]+FAR[[#This Row],[Accumulated impairments (Closing balance)]]</f>
        <v>409.6919999999991</v>
      </c>
      <c r="BT368" s="13"/>
      <c r="BU368" s="13"/>
      <c r="BV368" s="13"/>
      <c r="BW368" s="10" t="s">
        <v>167</v>
      </c>
      <c r="BX368" s="9" t="s">
        <v>168</v>
      </c>
      <c r="BY368" s="10"/>
      <c r="BZ368" t="s">
        <v>1029</v>
      </c>
      <c r="CA368"/>
      <c r="CB368" s="34"/>
      <c r="CC368" s="34"/>
      <c r="CD368" s="34"/>
      <c r="CE368" s="141"/>
    </row>
    <row r="369" spans="1:83">
      <c r="A369" s="35">
        <v>1299</v>
      </c>
      <c r="B369" s="9" t="s">
        <v>933</v>
      </c>
      <c r="C369" s="9" t="s">
        <v>54</v>
      </c>
      <c r="D369" s="10" t="s">
        <v>1</v>
      </c>
      <c r="E369" s="9" t="s">
        <v>115</v>
      </c>
      <c r="F369" s="36" t="s">
        <v>99</v>
      </c>
      <c r="G369" s="9" t="s">
        <v>100</v>
      </c>
      <c r="H369" s="3" t="s">
        <v>103</v>
      </c>
      <c r="I369" s="9" t="s">
        <v>100</v>
      </c>
      <c r="J369" s="36" t="s">
        <v>101</v>
      </c>
      <c r="K369" s="10" t="s">
        <v>559</v>
      </c>
      <c r="L369" s="10" t="s">
        <v>559</v>
      </c>
      <c r="M369" s="9" t="s">
        <v>100</v>
      </c>
      <c r="N369" s="10" t="s">
        <v>731</v>
      </c>
      <c r="O369" s="9" t="s">
        <v>100</v>
      </c>
      <c r="P369" s="10"/>
      <c r="Q369" s="10" t="s">
        <v>731</v>
      </c>
      <c r="R369" s="10" t="s">
        <v>119</v>
      </c>
      <c r="S369" s="10" t="s">
        <v>130</v>
      </c>
      <c r="T369" s="10" t="s">
        <v>120</v>
      </c>
      <c r="U369" s="10" t="s">
        <v>101</v>
      </c>
      <c r="V369" s="10" t="s">
        <v>121</v>
      </c>
      <c r="W369" s="10" t="s">
        <v>122</v>
      </c>
      <c r="X369" s="10" t="s">
        <v>123</v>
      </c>
      <c r="Y369" s="29">
        <v>1</v>
      </c>
      <c r="Z369" s="138" t="s">
        <v>679</v>
      </c>
      <c r="AA369" s="138">
        <v>43375</v>
      </c>
      <c r="AB369" s="9" t="s">
        <v>114</v>
      </c>
      <c r="AC369" s="9" t="s">
        <v>124</v>
      </c>
      <c r="AD369" s="15">
        <v>44651</v>
      </c>
      <c r="AE369" s="39" t="s">
        <v>125</v>
      </c>
      <c r="AF369" s="177">
        <v>3</v>
      </c>
      <c r="AG369" s="140">
        <v>0</v>
      </c>
      <c r="AH369" s="9">
        <v>0</v>
      </c>
      <c r="AI369" s="10" t="s">
        <v>126</v>
      </c>
      <c r="AJ369" s="10"/>
      <c r="AK369" s="29"/>
      <c r="AL369" s="12">
        <v>1.5</v>
      </c>
      <c r="AM369" s="10"/>
      <c r="AN369" s="12">
        <f>FAR[[#This Row],[Opening RUL]]+FAR[[#This Row],[RUL Adjustment]]</f>
        <v>1.5</v>
      </c>
      <c r="AO369" s="12">
        <f>FAR[[#This Row],[Opening RUL 30 June 2026]]-1</f>
        <v>0.5</v>
      </c>
      <c r="AP369" s="12" t="s">
        <v>1051</v>
      </c>
      <c r="AQ369" s="139"/>
      <c r="AR369" s="10" t="s">
        <v>127</v>
      </c>
      <c r="AS369" s="13">
        <v>28678.400000000001</v>
      </c>
      <c r="AT369" s="13"/>
      <c r="AU369" s="13">
        <v>0</v>
      </c>
      <c r="AV369" s="13">
        <v>0</v>
      </c>
      <c r="AW369" s="13">
        <v>0</v>
      </c>
      <c r="AX369" s="13">
        <v>28678.400000000001</v>
      </c>
      <c r="AY369" s="13">
        <v>1229.0742857142868</v>
      </c>
      <c r="AZ369" s="13">
        <v>0</v>
      </c>
      <c r="BA369" s="13"/>
      <c r="BB369" s="13"/>
      <c r="BC369" s="13">
        <v>-27449.325714285715</v>
      </c>
      <c r="BD369" s="13"/>
      <c r="BE369" s="13" t="s">
        <v>114</v>
      </c>
      <c r="BF369" s="29"/>
      <c r="BG369" s="13"/>
      <c r="BH369" s="13">
        <f>-FAR[[#This Row],[Carrying value (opening balance)]]/FAR[[#This Row],[Opening RUL 30 June 2026]]</f>
        <v>-819.38285714285792</v>
      </c>
      <c r="BI369" s="13">
        <f>FAR[[#This Row],[Depreciation YTD]]/12</f>
        <v>-68.281904761904826</v>
      </c>
      <c r="BJ369" s="13"/>
      <c r="BK369" s="13" t="s">
        <v>116</v>
      </c>
      <c r="BL369" s="13">
        <v>0</v>
      </c>
      <c r="BM369" s="13">
        <f>FAR[[#This Row],[Accumulated depreciation (Opening balance)]]+FAR[[#This Row],[Depreciation YTD]]+FAR[[#This Row],[Derecognitions (acc dep) '[+']]]</f>
        <v>-28268.708571428571</v>
      </c>
      <c r="BN369" s="13"/>
      <c r="BO369" s="13"/>
      <c r="BP369" s="13"/>
      <c r="BQ369" s="13"/>
      <c r="BR36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69" s="13">
        <f>FAR[[#This Row],[Cost Price (closing balance)]]+FAR[[#This Row],[Accumulated depreciation (Closing balance)]]+FAR[[#This Row],[Accumulated impairments (Closing balance)]]</f>
        <v>409.69142857143015</v>
      </c>
      <c r="BT369" s="13"/>
      <c r="BU369" s="13"/>
      <c r="BV369" s="13"/>
      <c r="BW369" s="10" t="s">
        <v>167</v>
      </c>
      <c r="BX369" s="9" t="s">
        <v>168</v>
      </c>
      <c r="BY369" s="10"/>
      <c r="BZ369" t="s">
        <v>978</v>
      </c>
      <c r="CA369"/>
      <c r="CB369" s="34"/>
      <c r="CC369" s="34"/>
      <c r="CD369" s="34"/>
      <c r="CE369" s="141"/>
    </row>
    <row r="370" spans="1:83">
      <c r="A370" s="35">
        <v>1445</v>
      </c>
      <c r="B370" s="9" t="s">
        <v>859</v>
      </c>
      <c r="C370" s="9" t="s">
        <v>54</v>
      </c>
      <c r="D370" s="10" t="s">
        <v>1</v>
      </c>
      <c r="E370" s="9" t="s">
        <v>115</v>
      </c>
      <c r="F370" s="36" t="s">
        <v>99</v>
      </c>
      <c r="G370" s="9" t="s">
        <v>100</v>
      </c>
      <c r="H370" s="3" t="s">
        <v>103</v>
      </c>
      <c r="I370" s="9" t="s">
        <v>100</v>
      </c>
      <c r="J370" s="36" t="s">
        <v>101</v>
      </c>
      <c r="K370" s="10" t="s">
        <v>559</v>
      </c>
      <c r="L370" s="10" t="s">
        <v>559</v>
      </c>
      <c r="M370" s="9" t="s">
        <v>100</v>
      </c>
      <c r="N370" s="10" t="s">
        <v>732</v>
      </c>
      <c r="O370" s="9" t="s">
        <v>100</v>
      </c>
      <c r="P370" s="10"/>
      <c r="Q370" s="10" t="s">
        <v>732</v>
      </c>
      <c r="R370" s="10" t="s">
        <v>119</v>
      </c>
      <c r="S370" s="10" t="s">
        <v>130</v>
      </c>
      <c r="T370" s="10" t="s">
        <v>120</v>
      </c>
      <c r="U370" s="10" t="s">
        <v>101</v>
      </c>
      <c r="V370" s="10" t="s">
        <v>121</v>
      </c>
      <c r="W370" s="10" t="s">
        <v>122</v>
      </c>
      <c r="X370" s="10" t="s">
        <v>123</v>
      </c>
      <c r="Y370" s="29">
        <v>1</v>
      </c>
      <c r="Z370" s="138" t="s">
        <v>761</v>
      </c>
      <c r="AA370" s="138">
        <v>44175</v>
      </c>
      <c r="AB370" s="9" t="s">
        <v>114</v>
      </c>
      <c r="AC370" s="9" t="s">
        <v>124</v>
      </c>
      <c r="AD370" s="15">
        <v>44651</v>
      </c>
      <c r="AE370" s="39" t="s">
        <v>125</v>
      </c>
      <c r="AF370" s="177">
        <v>3</v>
      </c>
      <c r="AG370" s="140">
        <v>0</v>
      </c>
      <c r="AH370" s="9">
        <v>0</v>
      </c>
      <c r="AI370" s="10" t="s">
        <v>126</v>
      </c>
      <c r="AJ370" s="10"/>
      <c r="AK370" s="29"/>
      <c r="AL370" s="12">
        <v>0.4465753424657537</v>
      </c>
      <c r="AM370" s="10"/>
      <c r="AN370" s="12">
        <f>FAR[[#This Row],[Opening RUL]]+FAR[[#This Row],[RUL Adjustment]]</f>
        <v>0.4465753424657537</v>
      </c>
      <c r="AO370" s="12">
        <f>FAR[[#This Row],[Opening RUL 30 June 2026]]-1</f>
        <v>-0.5534246575342463</v>
      </c>
      <c r="AP370" s="12" t="s">
        <v>1051</v>
      </c>
      <c r="AQ370" s="139"/>
      <c r="AR370" s="10" t="s">
        <v>127</v>
      </c>
      <c r="AS370" s="13">
        <v>25858.92</v>
      </c>
      <c r="AT370" s="13"/>
      <c r="AU370" s="13">
        <v>0</v>
      </c>
      <c r="AV370" s="13">
        <v>0</v>
      </c>
      <c r="AW370" s="13">
        <v>0</v>
      </c>
      <c r="AX370" s="13">
        <v>25858.92</v>
      </c>
      <c r="AY370" s="13">
        <v>478.64141008390652</v>
      </c>
      <c r="AZ370" s="13">
        <v>0</v>
      </c>
      <c r="BA370" s="13"/>
      <c r="BB370" s="13"/>
      <c r="BC370" s="13">
        <v>-25380.278589916092</v>
      </c>
      <c r="BD370" s="13"/>
      <c r="BE370" s="13" t="s">
        <v>114</v>
      </c>
      <c r="BF370" s="29"/>
      <c r="BG370" s="13"/>
      <c r="BH370" s="13">
        <f>-FAR[[#This Row],[Carrying value (opening balance)]]/FAR[[#This Row],[Opening RUL 30 June 2026]]</f>
        <v>-1071.8043845437164</v>
      </c>
      <c r="BI370" s="13">
        <f>FAR[[#This Row],[Depreciation YTD]]/12</f>
        <v>-89.317032045309702</v>
      </c>
      <c r="BJ370" s="13"/>
      <c r="BK370" s="13" t="s">
        <v>116</v>
      </c>
      <c r="BL370" s="13">
        <v>0</v>
      </c>
      <c r="BM370" s="13">
        <f>FAR[[#This Row],[Accumulated depreciation (Opening balance)]]+FAR[[#This Row],[Depreciation YTD]]+FAR[[#This Row],[Derecognitions (acc dep) '[+']]]</f>
        <v>-26452.082974459809</v>
      </c>
      <c r="BN370" s="13"/>
      <c r="BO370" s="13"/>
      <c r="BP370" s="13"/>
      <c r="BQ370" s="13"/>
      <c r="BR37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70" s="13">
        <f>FAR[[#This Row],[Cost Price (closing balance)]]+FAR[[#This Row],[Accumulated depreciation (Closing balance)]]+FAR[[#This Row],[Accumulated impairments (Closing balance)]]</f>
        <v>-593.16297445981036</v>
      </c>
      <c r="BT370" s="13"/>
      <c r="BU370" s="13"/>
      <c r="BV370" s="13"/>
      <c r="BW370" s="10" t="s">
        <v>167</v>
      </c>
      <c r="BX370" s="9" t="s">
        <v>168</v>
      </c>
      <c r="BY370" s="10"/>
      <c r="BZ370" t="s">
        <v>986</v>
      </c>
      <c r="CA370"/>
      <c r="CB370" s="34"/>
      <c r="CC370" s="34"/>
      <c r="CD370" s="34"/>
      <c r="CE370" s="141"/>
    </row>
    <row r="371" spans="1:83">
      <c r="A371" s="35">
        <v>1444</v>
      </c>
      <c r="B371" s="9" t="s">
        <v>873</v>
      </c>
      <c r="C371" s="9" t="s">
        <v>54</v>
      </c>
      <c r="D371" s="10" t="s">
        <v>1</v>
      </c>
      <c r="E371" s="9" t="s">
        <v>115</v>
      </c>
      <c r="F371" s="36" t="s">
        <v>99</v>
      </c>
      <c r="G371" s="9" t="s">
        <v>100</v>
      </c>
      <c r="H371" s="3" t="s">
        <v>103</v>
      </c>
      <c r="I371" s="9" t="s">
        <v>100</v>
      </c>
      <c r="J371" s="36" t="s">
        <v>101</v>
      </c>
      <c r="K371" s="10" t="s">
        <v>559</v>
      </c>
      <c r="L371" s="10" t="s">
        <v>559</v>
      </c>
      <c r="M371" s="9" t="s">
        <v>100</v>
      </c>
      <c r="N371" s="10" t="s">
        <v>733</v>
      </c>
      <c r="O371" s="9" t="s">
        <v>100</v>
      </c>
      <c r="P371" s="10"/>
      <c r="Q371" s="10" t="s">
        <v>733</v>
      </c>
      <c r="R371" s="10" t="s">
        <v>119</v>
      </c>
      <c r="S371" s="10" t="s">
        <v>130</v>
      </c>
      <c r="T371" s="10" t="s">
        <v>120</v>
      </c>
      <c r="U371" s="10" t="s">
        <v>101</v>
      </c>
      <c r="V371" s="10" t="s">
        <v>121</v>
      </c>
      <c r="W371" s="10" t="s">
        <v>122</v>
      </c>
      <c r="X371" s="10" t="s">
        <v>123</v>
      </c>
      <c r="Y371" s="29">
        <v>1</v>
      </c>
      <c r="Z371" s="138" t="s">
        <v>761</v>
      </c>
      <c r="AA371" s="138">
        <v>44175</v>
      </c>
      <c r="AB371" s="9" t="s">
        <v>114</v>
      </c>
      <c r="AC371" s="9" t="s">
        <v>124</v>
      </c>
      <c r="AD371" s="15">
        <v>44651</v>
      </c>
      <c r="AE371" s="39" t="s">
        <v>125</v>
      </c>
      <c r="AF371" s="177">
        <v>3</v>
      </c>
      <c r="AG371" s="140">
        <v>0</v>
      </c>
      <c r="AH371" s="9">
        <v>0</v>
      </c>
      <c r="AI371" s="10" t="s">
        <v>126</v>
      </c>
      <c r="AJ371" s="10"/>
      <c r="AK371" s="29"/>
      <c r="AL371" s="12">
        <v>0.4465753424657537</v>
      </c>
      <c r="AM371" s="10"/>
      <c r="AN371" s="12">
        <f>FAR[[#This Row],[Opening RUL]]+FAR[[#This Row],[RUL Adjustment]]</f>
        <v>0.4465753424657537</v>
      </c>
      <c r="AO371" s="12">
        <f>FAR[[#This Row],[Opening RUL 30 June 2026]]-1</f>
        <v>-0.5534246575342463</v>
      </c>
      <c r="AP371" s="12" t="s">
        <v>1051</v>
      </c>
      <c r="AQ371" s="139"/>
      <c r="AR371" s="10" t="s">
        <v>127</v>
      </c>
      <c r="AS371" s="13">
        <v>25858.92</v>
      </c>
      <c r="AT371" s="13"/>
      <c r="AU371" s="13">
        <v>0</v>
      </c>
      <c r="AV371" s="13">
        <v>0</v>
      </c>
      <c r="AW371" s="13">
        <v>0</v>
      </c>
      <c r="AX371" s="13">
        <v>25858.92</v>
      </c>
      <c r="AY371" s="13">
        <v>478.64141008390652</v>
      </c>
      <c r="AZ371" s="13">
        <v>0</v>
      </c>
      <c r="BA371" s="13"/>
      <c r="BB371" s="13"/>
      <c r="BC371" s="13">
        <v>-25380.278589916092</v>
      </c>
      <c r="BD371" s="13"/>
      <c r="BE371" s="13" t="s">
        <v>114</v>
      </c>
      <c r="BF371" s="29"/>
      <c r="BG371" s="13"/>
      <c r="BH371" s="13">
        <f>-FAR[[#This Row],[Carrying value (opening balance)]]/FAR[[#This Row],[Opening RUL 30 June 2026]]</f>
        <v>-1071.8043845437164</v>
      </c>
      <c r="BI371" s="13">
        <f>FAR[[#This Row],[Depreciation YTD]]/12</f>
        <v>-89.317032045309702</v>
      </c>
      <c r="BJ371" s="13"/>
      <c r="BK371" s="13" t="s">
        <v>116</v>
      </c>
      <c r="BL371" s="13">
        <v>0</v>
      </c>
      <c r="BM371" s="13">
        <f>FAR[[#This Row],[Accumulated depreciation (Opening balance)]]+FAR[[#This Row],[Depreciation YTD]]+FAR[[#This Row],[Derecognitions (acc dep) '[+']]]</f>
        <v>-26452.082974459809</v>
      </c>
      <c r="BN371" s="13"/>
      <c r="BO371" s="13"/>
      <c r="BP371" s="13"/>
      <c r="BQ371" s="13"/>
      <c r="BR37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71" s="13">
        <f>FAR[[#This Row],[Cost Price (closing balance)]]+FAR[[#This Row],[Accumulated depreciation (Closing balance)]]+FAR[[#This Row],[Accumulated impairments (Closing balance)]]</f>
        <v>-593.16297445981036</v>
      </c>
      <c r="BT371" s="13"/>
      <c r="BU371" s="13"/>
      <c r="BV371" s="13"/>
      <c r="BW371" s="10" t="s">
        <v>167</v>
      </c>
      <c r="BX371" s="9" t="s">
        <v>168</v>
      </c>
      <c r="BY371" s="10"/>
      <c r="BZ371" t="s">
        <v>1030</v>
      </c>
      <c r="CA371"/>
      <c r="CB371" s="34"/>
      <c r="CC371" s="34"/>
      <c r="CD371" s="34"/>
      <c r="CE371" s="141"/>
    </row>
    <row r="372" spans="1:83">
      <c r="A372" s="35">
        <v>1441</v>
      </c>
      <c r="B372" s="9" t="s">
        <v>866</v>
      </c>
      <c r="C372" s="9" t="s">
        <v>54</v>
      </c>
      <c r="D372" s="10" t="s">
        <v>1</v>
      </c>
      <c r="E372" s="9" t="s">
        <v>115</v>
      </c>
      <c r="F372" s="36" t="s">
        <v>99</v>
      </c>
      <c r="G372" s="9" t="s">
        <v>100</v>
      </c>
      <c r="H372" s="3" t="s">
        <v>103</v>
      </c>
      <c r="I372" s="9" t="s">
        <v>100</v>
      </c>
      <c r="J372" s="36" t="s">
        <v>101</v>
      </c>
      <c r="K372" s="10" t="s">
        <v>559</v>
      </c>
      <c r="L372" s="10" t="s">
        <v>559</v>
      </c>
      <c r="M372" s="9" t="s">
        <v>100</v>
      </c>
      <c r="N372" s="10" t="s">
        <v>734</v>
      </c>
      <c r="O372" s="9" t="s">
        <v>100</v>
      </c>
      <c r="P372" s="10"/>
      <c r="Q372" s="10" t="s">
        <v>734</v>
      </c>
      <c r="R372" s="10" t="s">
        <v>119</v>
      </c>
      <c r="S372" s="10" t="s">
        <v>130</v>
      </c>
      <c r="T372" s="10" t="s">
        <v>120</v>
      </c>
      <c r="U372" s="10" t="s">
        <v>101</v>
      </c>
      <c r="V372" s="10" t="s">
        <v>121</v>
      </c>
      <c r="W372" s="10" t="s">
        <v>122</v>
      </c>
      <c r="X372" s="10" t="s">
        <v>123</v>
      </c>
      <c r="Y372" s="29">
        <v>1</v>
      </c>
      <c r="Z372" s="138" t="s">
        <v>761</v>
      </c>
      <c r="AA372" s="138">
        <v>44175</v>
      </c>
      <c r="AB372" s="9" t="s">
        <v>114</v>
      </c>
      <c r="AC372" s="9" t="s">
        <v>124</v>
      </c>
      <c r="AD372" s="15">
        <v>44651</v>
      </c>
      <c r="AE372" s="39" t="s">
        <v>125</v>
      </c>
      <c r="AF372" s="177">
        <v>3</v>
      </c>
      <c r="AG372" s="140">
        <v>0</v>
      </c>
      <c r="AH372" s="9">
        <v>0</v>
      </c>
      <c r="AI372" s="10" t="s">
        <v>126</v>
      </c>
      <c r="AJ372" s="10"/>
      <c r="AK372" s="29"/>
      <c r="AL372" s="12">
        <v>0.4465753424657537</v>
      </c>
      <c r="AM372" s="10"/>
      <c r="AN372" s="12">
        <f>FAR[[#This Row],[Opening RUL]]+FAR[[#This Row],[RUL Adjustment]]</f>
        <v>0.4465753424657537</v>
      </c>
      <c r="AO372" s="12">
        <f>FAR[[#This Row],[Opening RUL 30 June 2026]]-1</f>
        <v>-0.5534246575342463</v>
      </c>
      <c r="AP372" s="12" t="s">
        <v>1051</v>
      </c>
      <c r="AQ372" s="139"/>
      <c r="AR372" s="10" t="s">
        <v>127</v>
      </c>
      <c r="AS372" s="13">
        <v>25858.92</v>
      </c>
      <c r="AT372" s="13"/>
      <c r="AU372" s="13">
        <v>0</v>
      </c>
      <c r="AV372" s="13">
        <v>0</v>
      </c>
      <c r="AW372" s="13">
        <v>0</v>
      </c>
      <c r="AX372" s="13">
        <v>25858.92</v>
      </c>
      <c r="AY372" s="13">
        <v>478.64141008390652</v>
      </c>
      <c r="AZ372" s="13">
        <v>0</v>
      </c>
      <c r="BA372" s="13"/>
      <c r="BB372" s="13"/>
      <c r="BC372" s="13">
        <v>-25380.278589916092</v>
      </c>
      <c r="BD372" s="13"/>
      <c r="BE372" s="13" t="s">
        <v>114</v>
      </c>
      <c r="BF372" s="29"/>
      <c r="BG372" s="13"/>
      <c r="BH372" s="13">
        <f>-FAR[[#This Row],[Carrying value (opening balance)]]/FAR[[#This Row],[Opening RUL 30 June 2026]]</f>
        <v>-1071.8043845437164</v>
      </c>
      <c r="BI372" s="13">
        <f>FAR[[#This Row],[Depreciation YTD]]/12</f>
        <v>-89.317032045309702</v>
      </c>
      <c r="BJ372" s="13"/>
      <c r="BK372" s="13" t="s">
        <v>116</v>
      </c>
      <c r="BL372" s="13">
        <v>0</v>
      </c>
      <c r="BM372" s="13">
        <f>FAR[[#This Row],[Accumulated depreciation (Opening balance)]]+FAR[[#This Row],[Depreciation YTD]]+FAR[[#This Row],[Derecognitions (acc dep) '[+']]]</f>
        <v>-26452.082974459809</v>
      </c>
      <c r="BN372" s="13"/>
      <c r="BO372" s="13"/>
      <c r="BP372" s="13"/>
      <c r="BQ372" s="13"/>
      <c r="BR37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72" s="13">
        <f>FAR[[#This Row],[Cost Price (closing balance)]]+FAR[[#This Row],[Accumulated depreciation (Closing balance)]]+FAR[[#This Row],[Accumulated impairments (Closing balance)]]</f>
        <v>-593.16297445981036</v>
      </c>
      <c r="BT372" s="13"/>
      <c r="BU372" s="13"/>
      <c r="BV372" s="13"/>
      <c r="BW372" s="10" t="s">
        <v>167</v>
      </c>
      <c r="BX372" s="9" t="s">
        <v>168</v>
      </c>
      <c r="BY372" s="10"/>
      <c r="BZ372" t="s">
        <v>983</v>
      </c>
      <c r="CA372"/>
      <c r="CB372" s="34"/>
      <c r="CC372" s="34"/>
      <c r="CD372" s="34"/>
      <c r="CE372" s="141"/>
    </row>
    <row r="373" spans="1:83">
      <c r="A373" s="35">
        <v>1438</v>
      </c>
      <c r="B373" s="9" t="s">
        <v>920</v>
      </c>
      <c r="C373" s="9" t="s">
        <v>54</v>
      </c>
      <c r="D373" s="10" t="s">
        <v>1</v>
      </c>
      <c r="E373" s="9" t="s">
        <v>115</v>
      </c>
      <c r="F373" s="36" t="s">
        <v>99</v>
      </c>
      <c r="G373" s="9" t="s">
        <v>100</v>
      </c>
      <c r="H373" s="3" t="s">
        <v>103</v>
      </c>
      <c r="I373" s="9" t="s">
        <v>100</v>
      </c>
      <c r="J373" s="36" t="s">
        <v>101</v>
      </c>
      <c r="K373" s="10" t="s">
        <v>559</v>
      </c>
      <c r="L373" s="10" t="s">
        <v>559</v>
      </c>
      <c r="M373" s="9" t="s">
        <v>100</v>
      </c>
      <c r="N373" s="10" t="s">
        <v>735</v>
      </c>
      <c r="O373" s="9" t="s">
        <v>100</v>
      </c>
      <c r="P373" s="10"/>
      <c r="Q373" s="10" t="s">
        <v>735</v>
      </c>
      <c r="R373" s="10" t="s">
        <v>119</v>
      </c>
      <c r="S373" s="10" t="s">
        <v>130</v>
      </c>
      <c r="T373" s="10" t="s">
        <v>120</v>
      </c>
      <c r="U373" s="10" t="s">
        <v>101</v>
      </c>
      <c r="V373" s="10" t="s">
        <v>121</v>
      </c>
      <c r="W373" s="10" t="s">
        <v>122</v>
      </c>
      <c r="X373" s="10" t="s">
        <v>123</v>
      </c>
      <c r="Y373" s="29">
        <v>1</v>
      </c>
      <c r="Z373" s="138" t="s">
        <v>761</v>
      </c>
      <c r="AA373" s="138">
        <v>44175</v>
      </c>
      <c r="AB373" s="9" t="s">
        <v>114</v>
      </c>
      <c r="AC373" s="9" t="s">
        <v>124</v>
      </c>
      <c r="AD373" s="15">
        <v>44651</v>
      </c>
      <c r="AE373" s="39" t="s">
        <v>125</v>
      </c>
      <c r="AF373" s="177">
        <v>3</v>
      </c>
      <c r="AG373" s="140">
        <v>0</v>
      </c>
      <c r="AH373" s="9">
        <v>0</v>
      </c>
      <c r="AI373" s="10" t="s">
        <v>126</v>
      </c>
      <c r="AJ373" s="10"/>
      <c r="AK373" s="29"/>
      <c r="AL373" s="12">
        <v>0.4465753424657537</v>
      </c>
      <c r="AM373" s="10"/>
      <c r="AN373" s="12">
        <f>FAR[[#This Row],[Opening RUL]]+FAR[[#This Row],[RUL Adjustment]]</f>
        <v>0.4465753424657537</v>
      </c>
      <c r="AO373" s="12">
        <f>FAR[[#This Row],[Opening RUL 30 June 2026]]-1</f>
        <v>-0.5534246575342463</v>
      </c>
      <c r="AP373" s="12" t="s">
        <v>1051</v>
      </c>
      <c r="AQ373" s="139"/>
      <c r="AR373" s="10" t="s">
        <v>127</v>
      </c>
      <c r="AS373" s="13">
        <v>25858.92</v>
      </c>
      <c r="AT373" s="13"/>
      <c r="AU373" s="13">
        <v>0</v>
      </c>
      <c r="AV373" s="13">
        <v>0</v>
      </c>
      <c r="AW373" s="13">
        <v>0</v>
      </c>
      <c r="AX373" s="13">
        <v>25858.92</v>
      </c>
      <c r="AY373" s="13">
        <v>478.64141008390652</v>
      </c>
      <c r="AZ373" s="13">
        <v>0</v>
      </c>
      <c r="BA373" s="13"/>
      <c r="BB373" s="13"/>
      <c r="BC373" s="13">
        <v>-25380.278589916092</v>
      </c>
      <c r="BD373" s="13"/>
      <c r="BE373" s="13" t="s">
        <v>114</v>
      </c>
      <c r="BF373" s="29"/>
      <c r="BG373" s="13"/>
      <c r="BH373" s="13">
        <f>-FAR[[#This Row],[Carrying value (opening balance)]]/FAR[[#This Row],[Opening RUL 30 June 2026]]</f>
        <v>-1071.8043845437164</v>
      </c>
      <c r="BI373" s="13">
        <f>FAR[[#This Row],[Depreciation YTD]]/12</f>
        <v>-89.317032045309702</v>
      </c>
      <c r="BJ373" s="13"/>
      <c r="BK373" s="13" t="s">
        <v>116</v>
      </c>
      <c r="BL373" s="13">
        <v>0</v>
      </c>
      <c r="BM373" s="13">
        <f>FAR[[#This Row],[Accumulated depreciation (Opening balance)]]+FAR[[#This Row],[Depreciation YTD]]+FAR[[#This Row],[Derecognitions (acc dep) '[+']]]</f>
        <v>-26452.082974459809</v>
      </c>
      <c r="BN373" s="13"/>
      <c r="BO373" s="13"/>
      <c r="BP373" s="13"/>
      <c r="BQ373" s="13"/>
      <c r="BR37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73" s="13">
        <f>FAR[[#This Row],[Cost Price (closing balance)]]+FAR[[#This Row],[Accumulated depreciation (Closing balance)]]+FAR[[#This Row],[Accumulated impairments (Closing balance)]]</f>
        <v>-593.16297445981036</v>
      </c>
      <c r="BT373" s="13"/>
      <c r="BU373" s="13"/>
      <c r="BV373" s="13"/>
      <c r="BW373" s="10" t="s">
        <v>167</v>
      </c>
      <c r="BX373" s="9" t="s">
        <v>168</v>
      </c>
      <c r="BY373" s="10"/>
      <c r="BZ373" t="s">
        <v>945</v>
      </c>
      <c r="CA373"/>
      <c r="CB373" s="34"/>
      <c r="CC373" s="34"/>
      <c r="CD373" s="34"/>
      <c r="CE373" s="141"/>
    </row>
    <row r="374" spans="1:83">
      <c r="A374" s="35">
        <v>1442</v>
      </c>
      <c r="B374" s="9" t="s">
        <v>906</v>
      </c>
      <c r="C374" s="9" t="s">
        <v>54</v>
      </c>
      <c r="D374" s="10" t="s">
        <v>1</v>
      </c>
      <c r="E374" s="9" t="s">
        <v>115</v>
      </c>
      <c r="F374" s="36" t="s">
        <v>99</v>
      </c>
      <c r="G374" s="9" t="s">
        <v>100</v>
      </c>
      <c r="H374" s="3" t="s">
        <v>103</v>
      </c>
      <c r="I374" s="9" t="s">
        <v>100</v>
      </c>
      <c r="J374" s="36" t="s">
        <v>101</v>
      </c>
      <c r="K374" s="10" t="s">
        <v>559</v>
      </c>
      <c r="L374" s="10" t="s">
        <v>559</v>
      </c>
      <c r="M374" s="9" t="s">
        <v>100</v>
      </c>
      <c r="N374" s="10" t="s">
        <v>736</v>
      </c>
      <c r="O374" s="9" t="s">
        <v>100</v>
      </c>
      <c r="P374" s="10"/>
      <c r="Q374" s="10" t="s">
        <v>736</v>
      </c>
      <c r="R374" s="10" t="s">
        <v>119</v>
      </c>
      <c r="S374" s="10" t="s">
        <v>130</v>
      </c>
      <c r="T374" s="10" t="s">
        <v>120</v>
      </c>
      <c r="U374" s="10" t="s">
        <v>101</v>
      </c>
      <c r="V374" s="10" t="s">
        <v>121</v>
      </c>
      <c r="W374" s="10" t="s">
        <v>122</v>
      </c>
      <c r="X374" s="10" t="s">
        <v>123</v>
      </c>
      <c r="Y374" s="29">
        <v>1</v>
      </c>
      <c r="Z374" s="138" t="s">
        <v>761</v>
      </c>
      <c r="AA374" s="138">
        <v>44175</v>
      </c>
      <c r="AB374" s="9" t="s">
        <v>114</v>
      </c>
      <c r="AC374" s="9" t="s">
        <v>124</v>
      </c>
      <c r="AD374" s="15">
        <v>44651</v>
      </c>
      <c r="AE374" s="39" t="s">
        <v>125</v>
      </c>
      <c r="AF374" s="177">
        <v>3</v>
      </c>
      <c r="AG374" s="140">
        <v>0</v>
      </c>
      <c r="AH374" s="9">
        <v>0</v>
      </c>
      <c r="AI374" s="10" t="s">
        <v>126</v>
      </c>
      <c r="AJ374" s="10"/>
      <c r="AK374" s="29"/>
      <c r="AL374" s="12">
        <v>0.4465753424657537</v>
      </c>
      <c r="AM374" s="10"/>
      <c r="AN374" s="12">
        <f>FAR[[#This Row],[Opening RUL]]+FAR[[#This Row],[RUL Adjustment]]</f>
        <v>0.4465753424657537</v>
      </c>
      <c r="AO374" s="12">
        <f>FAR[[#This Row],[Opening RUL 30 June 2026]]-1</f>
        <v>-0.5534246575342463</v>
      </c>
      <c r="AP374" s="12" t="s">
        <v>1051</v>
      </c>
      <c r="AQ374" s="139"/>
      <c r="AR374" s="10" t="s">
        <v>127</v>
      </c>
      <c r="AS374" s="13">
        <v>25858.92</v>
      </c>
      <c r="AT374" s="13"/>
      <c r="AU374" s="13">
        <v>0</v>
      </c>
      <c r="AV374" s="13">
        <v>0</v>
      </c>
      <c r="AW374" s="13">
        <v>0</v>
      </c>
      <c r="AX374" s="13">
        <v>25858.92</v>
      </c>
      <c r="AY374" s="13">
        <v>478.64141008390652</v>
      </c>
      <c r="AZ374" s="13">
        <v>0</v>
      </c>
      <c r="BA374" s="13"/>
      <c r="BB374" s="13"/>
      <c r="BC374" s="13">
        <v>-25380.278589916092</v>
      </c>
      <c r="BD374" s="13"/>
      <c r="BE374" s="13" t="s">
        <v>114</v>
      </c>
      <c r="BF374" s="29"/>
      <c r="BG374" s="13"/>
      <c r="BH374" s="13">
        <f>-FAR[[#This Row],[Carrying value (opening balance)]]/FAR[[#This Row],[Opening RUL 30 June 2026]]</f>
        <v>-1071.8043845437164</v>
      </c>
      <c r="BI374" s="13">
        <f>FAR[[#This Row],[Depreciation YTD]]/12</f>
        <v>-89.317032045309702</v>
      </c>
      <c r="BJ374" s="13"/>
      <c r="BK374" s="13" t="s">
        <v>116</v>
      </c>
      <c r="BL374" s="13">
        <v>0</v>
      </c>
      <c r="BM374" s="13">
        <f>FAR[[#This Row],[Accumulated depreciation (Opening balance)]]+FAR[[#This Row],[Depreciation YTD]]+FAR[[#This Row],[Derecognitions (acc dep) '[+']]]</f>
        <v>-26452.082974459809</v>
      </c>
      <c r="BN374" s="13"/>
      <c r="BO374" s="13"/>
      <c r="BP374" s="13"/>
      <c r="BQ374" s="13"/>
      <c r="BR37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74" s="13">
        <f>FAR[[#This Row],[Cost Price (closing balance)]]+FAR[[#This Row],[Accumulated depreciation (Closing balance)]]+FAR[[#This Row],[Accumulated impairments (Closing balance)]]</f>
        <v>-593.16297445981036</v>
      </c>
      <c r="BT374" s="13"/>
      <c r="BU374" s="13"/>
      <c r="BV374" s="13"/>
      <c r="BW374" s="10" t="s">
        <v>167</v>
      </c>
      <c r="BX374" s="9" t="s">
        <v>168</v>
      </c>
      <c r="BY374" s="10"/>
      <c r="BZ374" t="s">
        <v>990</v>
      </c>
      <c r="CA374"/>
      <c r="CB374" s="34"/>
      <c r="CC374" s="34"/>
      <c r="CD374" s="34"/>
      <c r="CE374" s="141"/>
    </row>
    <row r="375" spans="1:83">
      <c r="A375" s="35">
        <v>1518</v>
      </c>
      <c r="B375" s="9" t="s">
        <v>886</v>
      </c>
      <c r="C375" s="9" t="s">
        <v>54</v>
      </c>
      <c r="D375" s="10" t="s">
        <v>1</v>
      </c>
      <c r="E375" s="9" t="s">
        <v>115</v>
      </c>
      <c r="F375" s="36" t="s">
        <v>99</v>
      </c>
      <c r="G375" s="9" t="s">
        <v>100</v>
      </c>
      <c r="H375" s="3" t="s">
        <v>103</v>
      </c>
      <c r="I375" s="9" t="s">
        <v>100</v>
      </c>
      <c r="J375" s="36" t="s">
        <v>101</v>
      </c>
      <c r="K375" s="10" t="s">
        <v>559</v>
      </c>
      <c r="L375" s="10" t="s">
        <v>559</v>
      </c>
      <c r="M375" s="9" t="s">
        <v>100</v>
      </c>
      <c r="N375" s="10" t="s">
        <v>737</v>
      </c>
      <c r="O375" s="9" t="s">
        <v>100</v>
      </c>
      <c r="P375" s="10"/>
      <c r="Q375" s="10" t="s">
        <v>737</v>
      </c>
      <c r="R375" s="10" t="s">
        <v>119</v>
      </c>
      <c r="S375" s="10" t="s">
        <v>130</v>
      </c>
      <c r="T375" s="10" t="s">
        <v>120</v>
      </c>
      <c r="U375" s="10" t="s">
        <v>101</v>
      </c>
      <c r="V375" s="10" t="s">
        <v>121</v>
      </c>
      <c r="W375" s="10" t="s">
        <v>122</v>
      </c>
      <c r="X375" s="10" t="s">
        <v>123</v>
      </c>
      <c r="Y375" s="29">
        <v>1</v>
      </c>
      <c r="Z375" s="138" t="s">
        <v>762</v>
      </c>
      <c r="AA375" s="138">
        <v>44573</v>
      </c>
      <c r="AB375" s="9" t="s">
        <v>114</v>
      </c>
      <c r="AC375" s="9" t="s">
        <v>124</v>
      </c>
      <c r="AD375" s="15">
        <v>44651</v>
      </c>
      <c r="AE375" s="39" t="s">
        <v>125</v>
      </c>
      <c r="AF375" s="177">
        <v>3</v>
      </c>
      <c r="AG375" s="140">
        <v>0</v>
      </c>
      <c r="AH375" s="9">
        <v>0</v>
      </c>
      <c r="AI375" s="10" t="s">
        <v>126</v>
      </c>
      <c r="AJ375" s="10"/>
      <c r="AK375" s="29"/>
      <c r="AL375" s="12">
        <v>1.536986301369863</v>
      </c>
      <c r="AM375" s="10"/>
      <c r="AN375" s="12">
        <f>FAR[[#This Row],[Opening RUL]]+FAR[[#This Row],[RUL Adjustment]]</f>
        <v>1.536986301369863</v>
      </c>
      <c r="AO375" s="12">
        <f>FAR[[#This Row],[Opening RUL 30 June 2026]]-1</f>
        <v>0.53698630136986303</v>
      </c>
      <c r="AP375" s="12" t="s">
        <v>1050</v>
      </c>
      <c r="AQ375" s="139"/>
      <c r="AR375" s="10" t="s">
        <v>127</v>
      </c>
      <c r="AS375" s="13">
        <v>30630.25</v>
      </c>
      <c r="AT375" s="13"/>
      <c r="AU375" s="13">
        <v>0</v>
      </c>
      <c r="AV375" s="13">
        <v>0</v>
      </c>
      <c r="AW375" s="13">
        <v>0</v>
      </c>
      <c r="AX375" s="13">
        <v>30630.25</v>
      </c>
      <c r="AY375" s="13">
        <v>7489.3800376549443</v>
      </c>
      <c r="AZ375" s="13">
        <v>0</v>
      </c>
      <c r="BA375" s="13"/>
      <c r="BB375" s="13"/>
      <c r="BC375" s="13">
        <v>-23140.869962345056</v>
      </c>
      <c r="BD375" s="13"/>
      <c r="BE375" s="13" t="s">
        <v>114</v>
      </c>
      <c r="BF375" s="29"/>
      <c r="BG375" s="13"/>
      <c r="BH375" s="13">
        <f>-FAR[[#This Row],[Carrying value (opening balance)]]/FAR[[#This Row],[Opening RUL 30 June 2026]]</f>
        <v>-4872.7695432157834</v>
      </c>
      <c r="BI375" s="13">
        <f>FAR[[#This Row],[Depreciation YTD]]/12</f>
        <v>-406.0641286013153</v>
      </c>
      <c r="BJ375" s="13"/>
      <c r="BK375" s="13" t="s">
        <v>116</v>
      </c>
      <c r="BL375" s="13">
        <v>0</v>
      </c>
      <c r="BM375" s="13">
        <f>FAR[[#This Row],[Accumulated depreciation (Opening balance)]]+FAR[[#This Row],[Depreciation YTD]]+FAR[[#This Row],[Derecognitions (acc dep) '[+']]]</f>
        <v>-28013.639505560837</v>
      </c>
      <c r="BN375" s="13"/>
      <c r="BO375" s="13"/>
      <c r="BP375" s="13"/>
      <c r="BQ375" s="13"/>
      <c r="BR37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75" s="13">
        <f>FAR[[#This Row],[Cost Price (closing balance)]]+FAR[[#This Row],[Accumulated depreciation (Closing balance)]]+FAR[[#This Row],[Accumulated impairments (Closing balance)]]</f>
        <v>2616.6104944391627</v>
      </c>
      <c r="BT375" s="13"/>
      <c r="BU375" s="13"/>
      <c r="BV375" s="13"/>
      <c r="BW375" s="10" t="s">
        <v>167</v>
      </c>
      <c r="BX375" s="9" t="s">
        <v>168</v>
      </c>
      <c r="BY375" s="10"/>
      <c r="BZ375" t="s">
        <v>995</v>
      </c>
      <c r="CA375"/>
      <c r="CB375" s="34"/>
      <c r="CC375" s="34"/>
      <c r="CD375" s="34"/>
      <c r="CE375" s="141"/>
    </row>
    <row r="376" spans="1:83">
      <c r="A376" s="35">
        <v>1532</v>
      </c>
      <c r="B376" s="9" t="s">
        <v>877</v>
      </c>
      <c r="C376" s="9" t="s">
        <v>54</v>
      </c>
      <c r="D376" s="10" t="s">
        <v>1</v>
      </c>
      <c r="E376" s="9" t="s">
        <v>115</v>
      </c>
      <c r="F376" s="36" t="s">
        <v>99</v>
      </c>
      <c r="G376" s="9" t="s">
        <v>100</v>
      </c>
      <c r="H376" s="3" t="s">
        <v>103</v>
      </c>
      <c r="I376" s="9" t="s">
        <v>100</v>
      </c>
      <c r="J376" s="36" t="s">
        <v>101</v>
      </c>
      <c r="K376" s="10" t="s">
        <v>559</v>
      </c>
      <c r="L376" s="10" t="s">
        <v>559</v>
      </c>
      <c r="M376" s="9" t="s">
        <v>100</v>
      </c>
      <c r="N376" s="10" t="s">
        <v>738</v>
      </c>
      <c r="O376" s="9" t="s">
        <v>100</v>
      </c>
      <c r="P376" s="10"/>
      <c r="Q376" s="10" t="s">
        <v>738</v>
      </c>
      <c r="R376" s="10" t="s">
        <v>119</v>
      </c>
      <c r="S376" s="10" t="s">
        <v>130</v>
      </c>
      <c r="T376" s="10" t="s">
        <v>120</v>
      </c>
      <c r="U376" s="10" t="s">
        <v>101</v>
      </c>
      <c r="V376" s="10" t="s">
        <v>121</v>
      </c>
      <c r="W376" s="10" t="s">
        <v>122</v>
      </c>
      <c r="X376" s="10" t="s">
        <v>123</v>
      </c>
      <c r="Y376" s="29">
        <v>1</v>
      </c>
      <c r="Z376" s="138" t="s">
        <v>762</v>
      </c>
      <c r="AA376" s="138">
        <v>44573</v>
      </c>
      <c r="AB376" s="9" t="s">
        <v>114</v>
      </c>
      <c r="AC376" s="9" t="s">
        <v>124</v>
      </c>
      <c r="AD376" s="15">
        <v>44651</v>
      </c>
      <c r="AE376" s="39" t="s">
        <v>125</v>
      </c>
      <c r="AF376" s="177">
        <v>3</v>
      </c>
      <c r="AG376" s="140">
        <v>0</v>
      </c>
      <c r="AH376" s="9">
        <v>0</v>
      </c>
      <c r="AI376" s="10" t="s">
        <v>126</v>
      </c>
      <c r="AJ376" s="10"/>
      <c r="AK376" s="29"/>
      <c r="AL376" s="12">
        <v>1.536986301369863</v>
      </c>
      <c r="AM376" s="10"/>
      <c r="AN376" s="12">
        <f>FAR[[#This Row],[Opening RUL]]+FAR[[#This Row],[RUL Adjustment]]</f>
        <v>1.536986301369863</v>
      </c>
      <c r="AO376" s="12">
        <f>FAR[[#This Row],[Opening RUL 30 June 2026]]-1</f>
        <v>0.53698630136986303</v>
      </c>
      <c r="AP376" s="12" t="s">
        <v>1052</v>
      </c>
      <c r="AQ376" s="139"/>
      <c r="AR376" s="10" t="s">
        <v>127</v>
      </c>
      <c r="AS376" s="13">
        <v>30630.25</v>
      </c>
      <c r="AT376" s="13"/>
      <c r="AU376" s="13">
        <v>0</v>
      </c>
      <c r="AV376" s="13">
        <v>0</v>
      </c>
      <c r="AW376" s="13">
        <v>0</v>
      </c>
      <c r="AX376" s="13">
        <v>30630.25</v>
      </c>
      <c r="AY376" s="13">
        <v>7489.3800376549443</v>
      </c>
      <c r="AZ376" s="13">
        <v>0</v>
      </c>
      <c r="BA376" s="13"/>
      <c r="BB376" s="13"/>
      <c r="BC376" s="13">
        <v>-23140.869962345056</v>
      </c>
      <c r="BD376" s="13"/>
      <c r="BE376" s="13" t="s">
        <v>114</v>
      </c>
      <c r="BF376" s="29"/>
      <c r="BG376" s="13"/>
      <c r="BH376" s="13">
        <f>-FAR[[#This Row],[Carrying value (opening balance)]]/FAR[[#This Row],[Opening RUL 30 June 2026]]</f>
        <v>-4872.7695432157834</v>
      </c>
      <c r="BI376" s="13">
        <f>FAR[[#This Row],[Depreciation YTD]]/12</f>
        <v>-406.0641286013153</v>
      </c>
      <c r="BJ376" s="13"/>
      <c r="BK376" s="13" t="s">
        <v>116</v>
      </c>
      <c r="BL376" s="13">
        <v>0</v>
      </c>
      <c r="BM376" s="13">
        <f>FAR[[#This Row],[Accumulated depreciation (Opening balance)]]+FAR[[#This Row],[Depreciation YTD]]+FAR[[#This Row],[Derecognitions (acc dep) '[+']]]</f>
        <v>-28013.639505560837</v>
      </c>
      <c r="BN376" s="13"/>
      <c r="BO376" s="13"/>
      <c r="BP376" s="13"/>
      <c r="BQ376" s="13"/>
      <c r="BR37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76" s="13">
        <f>FAR[[#This Row],[Cost Price (closing balance)]]+FAR[[#This Row],[Accumulated depreciation (Closing balance)]]+FAR[[#This Row],[Accumulated impairments (Closing balance)]]</f>
        <v>2616.6104944391627</v>
      </c>
      <c r="BT376" s="13"/>
      <c r="BU376" s="13"/>
      <c r="BV376" s="13"/>
      <c r="BW376" s="10" t="s">
        <v>167</v>
      </c>
      <c r="BX376" s="9" t="s">
        <v>168</v>
      </c>
      <c r="BY376" s="10"/>
      <c r="BZ376" t="s">
        <v>967</v>
      </c>
      <c r="CA376"/>
      <c r="CB376" s="34"/>
      <c r="CC376" s="34"/>
      <c r="CD376" s="34"/>
      <c r="CE376" s="141"/>
    </row>
    <row r="377" spans="1:83">
      <c r="A377" s="35">
        <v>1524</v>
      </c>
      <c r="B377" s="9" t="s">
        <v>866</v>
      </c>
      <c r="C377" s="9" t="s">
        <v>54</v>
      </c>
      <c r="D377" s="10" t="s">
        <v>1</v>
      </c>
      <c r="E377" s="9" t="s">
        <v>115</v>
      </c>
      <c r="F377" s="36" t="s">
        <v>99</v>
      </c>
      <c r="G377" s="9" t="s">
        <v>100</v>
      </c>
      <c r="H377" s="3" t="s">
        <v>103</v>
      </c>
      <c r="I377" s="9" t="s">
        <v>100</v>
      </c>
      <c r="J377" s="36" t="s">
        <v>101</v>
      </c>
      <c r="K377" s="10" t="s">
        <v>559</v>
      </c>
      <c r="L377" s="10" t="s">
        <v>559</v>
      </c>
      <c r="M377" s="9" t="s">
        <v>100</v>
      </c>
      <c r="N377" s="10" t="s">
        <v>739</v>
      </c>
      <c r="O377" s="9" t="s">
        <v>100</v>
      </c>
      <c r="P377" s="10"/>
      <c r="Q377" s="10" t="s">
        <v>739</v>
      </c>
      <c r="R377" s="10" t="s">
        <v>119</v>
      </c>
      <c r="S377" s="10" t="s">
        <v>130</v>
      </c>
      <c r="T377" s="10" t="s">
        <v>120</v>
      </c>
      <c r="U377" s="10" t="s">
        <v>101</v>
      </c>
      <c r="V377" s="10" t="s">
        <v>121</v>
      </c>
      <c r="W377" s="10" t="s">
        <v>122</v>
      </c>
      <c r="X377" s="10" t="s">
        <v>123</v>
      </c>
      <c r="Y377" s="29">
        <v>1</v>
      </c>
      <c r="Z377" s="138" t="s">
        <v>763</v>
      </c>
      <c r="AA377" s="138">
        <v>44624</v>
      </c>
      <c r="AB377" s="9" t="s">
        <v>114</v>
      </c>
      <c r="AC377" s="9" t="s">
        <v>124</v>
      </c>
      <c r="AD377" s="15">
        <v>44651</v>
      </c>
      <c r="AE377" s="39" t="s">
        <v>125</v>
      </c>
      <c r="AF377" s="177">
        <v>3</v>
      </c>
      <c r="AG377" s="140">
        <v>0</v>
      </c>
      <c r="AH377" s="9">
        <v>0</v>
      </c>
      <c r="AI377" s="10" t="s">
        <v>126</v>
      </c>
      <c r="AJ377" s="10"/>
      <c r="AK377" s="29"/>
      <c r="AL377" s="12">
        <v>1.6767123287671231</v>
      </c>
      <c r="AM377" s="10"/>
      <c r="AN377" s="12">
        <f>FAR[[#This Row],[Opening RUL]]+FAR[[#This Row],[RUL Adjustment]]</f>
        <v>1.6767123287671231</v>
      </c>
      <c r="AO377" s="12">
        <f>FAR[[#This Row],[Opening RUL 30 June 2026]]-1</f>
        <v>0.67671232876712306</v>
      </c>
      <c r="AP377" s="12" t="s">
        <v>1050</v>
      </c>
      <c r="AQ377" s="139"/>
      <c r="AR377" s="10" t="s">
        <v>127</v>
      </c>
      <c r="AS377" s="13">
        <v>41302.379999999997</v>
      </c>
      <c r="AT377" s="13"/>
      <c r="AU377" s="13">
        <v>0</v>
      </c>
      <c r="AV377" s="13">
        <v>0</v>
      </c>
      <c r="AW377" s="13">
        <v>0</v>
      </c>
      <c r="AX377" s="13">
        <v>41302.379999999997</v>
      </c>
      <c r="AY377" s="13">
        <v>11507.685288763874</v>
      </c>
      <c r="AZ377" s="13">
        <v>0</v>
      </c>
      <c r="BA377" s="13"/>
      <c r="BB377" s="13"/>
      <c r="BC377" s="13">
        <v>-29794.694711236123</v>
      </c>
      <c r="BD377" s="13"/>
      <c r="BE377" s="13" t="s">
        <v>114</v>
      </c>
      <c r="BF377" s="29"/>
      <c r="BG377" s="13"/>
      <c r="BH377" s="13">
        <f>-FAR[[#This Row],[Carrying value (opening balance)]]/FAR[[#This Row],[Opening RUL 30 June 2026]]</f>
        <v>-6863.2436771222465</v>
      </c>
      <c r="BI377" s="13">
        <f>FAR[[#This Row],[Depreciation YTD]]/12</f>
        <v>-571.93697309352058</v>
      </c>
      <c r="BJ377" s="13"/>
      <c r="BK377" s="13" t="s">
        <v>116</v>
      </c>
      <c r="BL377" s="13">
        <v>0</v>
      </c>
      <c r="BM377" s="13">
        <f>FAR[[#This Row],[Accumulated depreciation (Opening balance)]]+FAR[[#This Row],[Depreciation YTD]]+FAR[[#This Row],[Derecognitions (acc dep) '[+']]]</f>
        <v>-36657.938388358372</v>
      </c>
      <c r="BN377" s="13"/>
      <c r="BO377" s="13"/>
      <c r="BP377" s="13"/>
      <c r="BQ377" s="13"/>
      <c r="BR37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77" s="13">
        <f>FAR[[#This Row],[Cost Price (closing balance)]]+FAR[[#This Row],[Accumulated depreciation (Closing balance)]]+FAR[[#This Row],[Accumulated impairments (Closing balance)]]</f>
        <v>4644.4416116416251</v>
      </c>
      <c r="BT377" s="13"/>
      <c r="BU377" s="13"/>
      <c r="BV377" s="13"/>
      <c r="BW377" s="10" t="s">
        <v>167</v>
      </c>
      <c r="BX377" s="9" t="s">
        <v>168</v>
      </c>
      <c r="BY377" s="10"/>
      <c r="BZ377" t="s">
        <v>985</v>
      </c>
      <c r="CA377"/>
      <c r="CB377" s="34"/>
      <c r="CC377" s="34"/>
      <c r="CD377" s="34"/>
      <c r="CE377" s="141"/>
    </row>
    <row r="378" spans="1:83">
      <c r="A378" s="35">
        <v>1523</v>
      </c>
      <c r="B378" s="9" t="s">
        <v>934</v>
      </c>
      <c r="C378" s="9" t="s">
        <v>54</v>
      </c>
      <c r="D378" s="10" t="s">
        <v>1</v>
      </c>
      <c r="E378" s="9" t="s">
        <v>115</v>
      </c>
      <c r="F378" s="36" t="s">
        <v>99</v>
      </c>
      <c r="G378" s="9" t="s">
        <v>100</v>
      </c>
      <c r="H378" s="3" t="s">
        <v>103</v>
      </c>
      <c r="I378" s="9" t="s">
        <v>100</v>
      </c>
      <c r="J378" s="36" t="s">
        <v>101</v>
      </c>
      <c r="K378" s="10" t="s">
        <v>559</v>
      </c>
      <c r="L378" s="10" t="s">
        <v>559</v>
      </c>
      <c r="M378" s="9" t="s">
        <v>100</v>
      </c>
      <c r="N378" s="10" t="s">
        <v>740</v>
      </c>
      <c r="O378" s="9" t="s">
        <v>100</v>
      </c>
      <c r="P378" s="10"/>
      <c r="Q378" s="10" t="s">
        <v>740</v>
      </c>
      <c r="R378" s="10" t="s">
        <v>119</v>
      </c>
      <c r="S378" s="10" t="s">
        <v>130</v>
      </c>
      <c r="T378" s="10" t="s">
        <v>120</v>
      </c>
      <c r="U378" s="10" t="s">
        <v>101</v>
      </c>
      <c r="V378" s="10" t="s">
        <v>121</v>
      </c>
      <c r="W378" s="10" t="s">
        <v>122</v>
      </c>
      <c r="X378" s="10" t="s">
        <v>123</v>
      </c>
      <c r="Y378" s="29">
        <v>1</v>
      </c>
      <c r="Z378" s="138" t="s">
        <v>763</v>
      </c>
      <c r="AA378" s="138">
        <v>44624</v>
      </c>
      <c r="AB378" s="9" t="s">
        <v>114</v>
      </c>
      <c r="AC378" s="9" t="s">
        <v>124</v>
      </c>
      <c r="AD378" s="15">
        <v>44651</v>
      </c>
      <c r="AE378" s="39" t="s">
        <v>125</v>
      </c>
      <c r="AF378" s="177">
        <v>3</v>
      </c>
      <c r="AG378" s="140">
        <v>0</v>
      </c>
      <c r="AH378" s="9">
        <v>0</v>
      </c>
      <c r="AI378" s="10" t="s">
        <v>126</v>
      </c>
      <c r="AJ378" s="10"/>
      <c r="AK378" s="29"/>
      <c r="AL378" s="12">
        <v>1.6767123287671231</v>
      </c>
      <c r="AM378" s="10"/>
      <c r="AN378" s="12">
        <f>FAR[[#This Row],[Opening RUL]]+FAR[[#This Row],[RUL Adjustment]]</f>
        <v>1.6767123287671231</v>
      </c>
      <c r="AO378" s="12">
        <f>FAR[[#This Row],[Opening RUL 30 June 2026]]-1</f>
        <v>0.67671232876712306</v>
      </c>
      <c r="AP378" s="12" t="s">
        <v>1050</v>
      </c>
      <c r="AQ378" s="139"/>
      <c r="AR378" s="10" t="s">
        <v>127</v>
      </c>
      <c r="AS378" s="13">
        <v>41302.379999999997</v>
      </c>
      <c r="AT378" s="13"/>
      <c r="AU378" s="13">
        <v>0</v>
      </c>
      <c r="AV378" s="13">
        <v>0</v>
      </c>
      <c r="AW378" s="13">
        <v>0</v>
      </c>
      <c r="AX378" s="13">
        <v>41302.379999999997</v>
      </c>
      <c r="AY378" s="13">
        <v>11507.685288763874</v>
      </c>
      <c r="AZ378" s="13">
        <v>0</v>
      </c>
      <c r="BA378" s="13"/>
      <c r="BB378" s="13"/>
      <c r="BC378" s="13">
        <v>-29794.694711236123</v>
      </c>
      <c r="BD378" s="13"/>
      <c r="BE378" s="13" t="s">
        <v>114</v>
      </c>
      <c r="BF378" s="29"/>
      <c r="BG378" s="13"/>
      <c r="BH378" s="13">
        <f>-FAR[[#This Row],[Carrying value (opening balance)]]/FAR[[#This Row],[Opening RUL 30 June 2026]]</f>
        <v>-6863.2436771222465</v>
      </c>
      <c r="BI378" s="13">
        <f>FAR[[#This Row],[Depreciation YTD]]/12</f>
        <v>-571.93697309352058</v>
      </c>
      <c r="BJ378" s="13"/>
      <c r="BK378" s="13" t="s">
        <v>116</v>
      </c>
      <c r="BL378" s="13">
        <v>0</v>
      </c>
      <c r="BM378" s="13">
        <f>FAR[[#This Row],[Accumulated depreciation (Opening balance)]]+FAR[[#This Row],[Depreciation YTD]]+FAR[[#This Row],[Derecognitions (acc dep) '[+']]]</f>
        <v>-36657.938388358372</v>
      </c>
      <c r="BN378" s="13"/>
      <c r="BO378" s="13"/>
      <c r="BP378" s="13"/>
      <c r="BQ378" s="13"/>
      <c r="BR37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78" s="13">
        <f>FAR[[#This Row],[Cost Price (closing balance)]]+FAR[[#This Row],[Accumulated depreciation (Closing balance)]]+FAR[[#This Row],[Accumulated impairments (Closing balance)]]</f>
        <v>4644.4416116416251</v>
      </c>
      <c r="BT378" s="13"/>
      <c r="BU378" s="13"/>
      <c r="BV378" s="13"/>
      <c r="BW378" s="10" t="s">
        <v>167</v>
      </c>
      <c r="BX378" s="9" t="s">
        <v>168</v>
      </c>
      <c r="BY378" s="10"/>
      <c r="BZ378" t="s">
        <v>1031</v>
      </c>
      <c r="CA378"/>
      <c r="CB378" s="34"/>
      <c r="CC378" s="34"/>
      <c r="CD378" s="34"/>
      <c r="CE378" s="141"/>
    </row>
    <row r="379" spans="1:83">
      <c r="A379" s="35">
        <v>1536</v>
      </c>
      <c r="B379" s="9" t="s">
        <v>894</v>
      </c>
      <c r="C379" s="9" t="s">
        <v>54</v>
      </c>
      <c r="D379" s="10" t="s">
        <v>1</v>
      </c>
      <c r="E379" s="9" t="s">
        <v>115</v>
      </c>
      <c r="F379" s="36" t="s">
        <v>99</v>
      </c>
      <c r="G379" s="9" t="s">
        <v>100</v>
      </c>
      <c r="H379" s="3" t="s">
        <v>103</v>
      </c>
      <c r="I379" s="9" t="s">
        <v>100</v>
      </c>
      <c r="J379" s="36" t="s">
        <v>101</v>
      </c>
      <c r="K379" s="10" t="s">
        <v>559</v>
      </c>
      <c r="L379" s="10" t="s">
        <v>559</v>
      </c>
      <c r="M379" s="9" t="s">
        <v>100</v>
      </c>
      <c r="N379" s="10" t="s">
        <v>741</v>
      </c>
      <c r="O379" s="9" t="s">
        <v>100</v>
      </c>
      <c r="P379" s="10"/>
      <c r="Q379" s="10" t="s">
        <v>741</v>
      </c>
      <c r="R379" s="10" t="s">
        <v>119</v>
      </c>
      <c r="S379" s="10" t="s">
        <v>130</v>
      </c>
      <c r="T379" s="10" t="s">
        <v>120</v>
      </c>
      <c r="U379" s="10" t="s">
        <v>101</v>
      </c>
      <c r="V379" s="10" t="s">
        <v>121</v>
      </c>
      <c r="W379" s="10" t="s">
        <v>122</v>
      </c>
      <c r="X379" s="10" t="s">
        <v>123</v>
      </c>
      <c r="Y379" s="29">
        <v>1</v>
      </c>
      <c r="Z379" s="138" t="s">
        <v>763</v>
      </c>
      <c r="AA379" s="138">
        <v>44624</v>
      </c>
      <c r="AB379" s="9" t="s">
        <v>114</v>
      </c>
      <c r="AC379" s="9" t="s">
        <v>124</v>
      </c>
      <c r="AD379" s="15">
        <v>44651</v>
      </c>
      <c r="AE379" s="39" t="s">
        <v>125</v>
      </c>
      <c r="AF379" s="177">
        <v>3</v>
      </c>
      <c r="AG379" s="140">
        <v>0</v>
      </c>
      <c r="AH379" s="9">
        <v>0</v>
      </c>
      <c r="AI379" s="10" t="s">
        <v>126</v>
      </c>
      <c r="AJ379" s="10"/>
      <c r="AK379" s="29"/>
      <c r="AL379" s="12">
        <v>1.6767123287671231</v>
      </c>
      <c r="AM379" s="10"/>
      <c r="AN379" s="12">
        <f>FAR[[#This Row],[Opening RUL]]+FAR[[#This Row],[RUL Adjustment]]</f>
        <v>1.6767123287671231</v>
      </c>
      <c r="AO379" s="12">
        <f>FAR[[#This Row],[Opening RUL 30 June 2026]]-1</f>
        <v>0.67671232876712306</v>
      </c>
      <c r="AP379" s="12" t="s">
        <v>1050</v>
      </c>
      <c r="AQ379" s="139"/>
      <c r="AR379" s="10" t="s">
        <v>127</v>
      </c>
      <c r="AS379" s="13">
        <v>41302.379999999997</v>
      </c>
      <c r="AT379" s="13"/>
      <c r="AU379" s="13">
        <v>0</v>
      </c>
      <c r="AV379" s="13">
        <v>0</v>
      </c>
      <c r="AW379" s="13">
        <v>0</v>
      </c>
      <c r="AX379" s="13">
        <v>41302.379999999997</v>
      </c>
      <c r="AY379" s="13">
        <v>11507.685288763874</v>
      </c>
      <c r="AZ379" s="13">
        <v>0</v>
      </c>
      <c r="BA379" s="13"/>
      <c r="BB379" s="13"/>
      <c r="BC379" s="13">
        <v>-29794.694711236123</v>
      </c>
      <c r="BD379" s="13"/>
      <c r="BE379" s="13" t="s">
        <v>114</v>
      </c>
      <c r="BF379" s="29"/>
      <c r="BG379" s="13"/>
      <c r="BH379" s="13">
        <f>-FAR[[#This Row],[Carrying value (opening balance)]]/FAR[[#This Row],[Opening RUL 30 June 2026]]</f>
        <v>-6863.2436771222465</v>
      </c>
      <c r="BI379" s="13">
        <f>FAR[[#This Row],[Depreciation YTD]]/12</f>
        <v>-571.93697309352058</v>
      </c>
      <c r="BJ379" s="13"/>
      <c r="BK379" s="13" t="s">
        <v>116</v>
      </c>
      <c r="BL379" s="13">
        <v>0</v>
      </c>
      <c r="BM379" s="13">
        <f>FAR[[#This Row],[Accumulated depreciation (Opening balance)]]+FAR[[#This Row],[Depreciation YTD]]+FAR[[#This Row],[Derecognitions (acc dep) '[+']]]</f>
        <v>-36657.938388358372</v>
      </c>
      <c r="BN379" s="13"/>
      <c r="BO379" s="13"/>
      <c r="BP379" s="13"/>
      <c r="BQ379" s="13"/>
      <c r="BR37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79" s="13">
        <f>FAR[[#This Row],[Cost Price (closing balance)]]+FAR[[#This Row],[Accumulated depreciation (Closing balance)]]+FAR[[#This Row],[Accumulated impairments (Closing balance)]]</f>
        <v>4644.4416116416251</v>
      </c>
      <c r="BT379" s="13"/>
      <c r="BU379" s="13"/>
      <c r="BV379" s="13"/>
      <c r="BW379" s="10" t="s">
        <v>167</v>
      </c>
      <c r="BX379" s="9" t="s">
        <v>168</v>
      </c>
      <c r="BY379" s="10"/>
      <c r="BZ379" t="s">
        <v>1032</v>
      </c>
      <c r="CA379"/>
      <c r="CB379" s="34"/>
      <c r="CC379" s="34"/>
      <c r="CD379" s="34"/>
      <c r="CE379" s="141"/>
    </row>
    <row r="380" spans="1:83">
      <c r="A380" s="35">
        <v>1522</v>
      </c>
      <c r="B380" s="9" t="s">
        <v>895</v>
      </c>
      <c r="C380" s="9" t="s">
        <v>54</v>
      </c>
      <c r="D380" s="10" t="s">
        <v>1</v>
      </c>
      <c r="E380" s="9" t="s">
        <v>115</v>
      </c>
      <c r="F380" s="36" t="s">
        <v>99</v>
      </c>
      <c r="G380" s="9" t="s">
        <v>100</v>
      </c>
      <c r="H380" s="3" t="s">
        <v>103</v>
      </c>
      <c r="I380" s="9" t="s">
        <v>100</v>
      </c>
      <c r="J380" s="36" t="s">
        <v>101</v>
      </c>
      <c r="K380" s="10" t="s">
        <v>559</v>
      </c>
      <c r="L380" s="10" t="s">
        <v>559</v>
      </c>
      <c r="M380" s="9" t="s">
        <v>100</v>
      </c>
      <c r="N380" s="10" t="s">
        <v>742</v>
      </c>
      <c r="O380" s="9" t="s">
        <v>100</v>
      </c>
      <c r="P380" s="10"/>
      <c r="Q380" s="10" t="s">
        <v>742</v>
      </c>
      <c r="R380" s="10" t="s">
        <v>119</v>
      </c>
      <c r="S380" s="10" t="s">
        <v>130</v>
      </c>
      <c r="T380" s="10" t="s">
        <v>120</v>
      </c>
      <c r="U380" s="10" t="s">
        <v>101</v>
      </c>
      <c r="V380" s="10" t="s">
        <v>121</v>
      </c>
      <c r="W380" s="10" t="s">
        <v>122</v>
      </c>
      <c r="X380" s="10" t="s">
        <v>123</v>
      </c>
      <c r="Y380" s="29">
        <v>1</v>
      </c>
      <c r="Z380" s="138" t="s">
        <v>763</v>
      </c>
      <c r="AA380" s="138">
        <v>44624</v>
      </c>
      <c r="AB380" s="9" t="s">
        <v>114</v>
      </c>
      <c r="AC380" s="9" t="s">
        <v>124</v>
      </c>
      <c r="AD380" s="15">
        <v>44651</v>
      </c>
      <c r="AE380" s="39" t="s">
        <v>125</v>
      </c>
      <c r="AF380" s="177">
        <v>3</v>
      </c>
      <c r="AG380" s="140">
        <v>0</v>
      </c>
      <c r="AH380" s="9">
        <v>0</v>
      </c>
      <c r="AI380" s="10" t="s">
        <v>126</v>
      </c>
      <c r="AJ380" s="10"/>
      <c r="AK380" s="29"/>
      <c r="AL380" s="12">
        <v>1.6767123287671231</v>
      </c>
      <c r="AM380" s="10"/>
      <c r="AN380" s="12">
        <f>FAR[[#This Row],[Opening RUL]]+FAR[[#This Row],[RUL Adjustment]]</f>
        <v>1.6767123287671231</v>
      </c>
      <c r="AO380" s="12">
        <f>FAR[[#This Row],[Opening RUL 30 June 2026]]-1</f>
        <v>0.67671232876712306</v>
      </c>
      <c r="AP380" s="12" t="s">
        <v>1051</v>
      </c>
      <c r="AQ380" s="139"/>
      <c r="AR380" s="10" t="s">
        <v>127</v>
      </c>
      <c r="AS380" s="13">
        <v>41302.379999999997</v>
      </c>
      <c r="AT380" s="13"/>
      <c r="AU380" s="13">
        <v>0</v>
      </c>
      <c r="AV380" s="13">
        <v>0</v>
      </c>
      <c r="AW380" s="13">
        <v>0</v>
      </c>
      <c r="AX380" s="13">
        <v>41302.379999999997</v>
      </c>
      <c r="AY380" s="13">
        <v>11507.685288763874</v>
      </c>
      <c r="AZ380" s="13">
        <v>0</v>
      </c>
      <c r="BA380" s="13"/>
      <c r="BB380" s="13"/>
      <c r="BC380" s="13">
        <v>-29794.694711236123</v>
      </c>
      <c r="BD380" s="13"/>
      <c r="BE380" s="13" t="s">
        <v>114</v>
      </c>
      <c r="BF380" s="29"/>
      <c r="BG380" s="13"/>
      <c r="BH380" s="13">
        <f>-FAR[[#This Row],[Carrying value (opening balance)]]/FAR[[#This Row],[Opening RUL 30 June 2026]]</f>
        <v>-6863.2436771222465</v>
      </c>
      <c r="BI380" s="13">
        <f>FAR[[#This Row],[Depreciation YTD]]/12</f>
        <v>-571.93697309352058</v>
      </c>
      <c r="BJ380" s="13"/>
      <c r="BK380" s="13" t="s">
        <v>116</v>
      </c>
      <c r="BL380" s="13">
        <v>0</v>
      </c>
      <c r="BM380" s="13">
        <f>FAR[[#This Row],[Accumulated depreciation (Opening balance)]]+FAR[[#This Row],[Depreciation YTD]]+FAR[[#This Row],[Derecognitions (acc dep) '[+']]]</f>
        <v>-36657.938388358372</v>
      </c>
      <c r="BN380" s="13"/>
      <c r="BO380" s="13"/>
      <c r="BP380" s="13"/>
      <c r="BQ380" s="13"/>
      <c r="BR38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80" s="13">
        <f>FAR[[#This Row],[Cost Price (closing balance)]]+FAR[[#This Row],[Accumulated depreciation (Closing balance)]]+FAR[[#This Row],[Accumulated impairments (Closing balance)]]</f>
        <v>4644.4416116416251</v>
      </c>
      <c r="BT380" s="13"/>
      <c r="BU380" s="13"/>
      <c r="BV380" s="13"/>
      <c r="BW380" s="10" t="s">
        <v>167</v>
      </c>
      <c r="BX380" s="9" t="s">
        <v>168</v>
      </c>
      <c r="BY380" s="10"/>
      <c r="BZ380" t="s">
        <v>968</v>
      </c>
      <c r="CA380"/>
      <c r="CB380" s="34"/>
      <c r="CC380" s="34"/>
      <c r="CD380" s="34"/>
      <c r="CE380" s="141"/>
    </row>
    <row r="381" spans="1:83">
      <c r="A381" s="35">
        <v>1553</v>
      </c>
      <c r="B381" s="9" t="s">
        <v>868</v>
      </c>
      <c r="C381" s="9" t="s">
        <v>54</v>
      </c>
      <c r="D381" s="10" t="s">
        <v>1</v>
      </c>
      <c r="E381" s="9" t="s">
        <v>115</v>
      </c>
      <c r="F381" s="36" t="s">
        <v>99</v>
      </c>
      <c r="G381" s="9" t="s">
        <v>100</v>
      </c>
      <c r="H381" s="3" t="s">
        <v>103</v>
      </c>
      <c r="I381" s="9" t="s">
        <v>100</v>
      </c>
      <c r="J381" s="36" t="s">
        <v>101</v>
      </c>
      <c r="K381" s="10" t="s">
        <v>559</v>
      </c>
      <c r="L381" s="10" t="s">
        <v>559</v>
      </c>
      <c r="M381" s="9" t="s">
        <v>100</v>
      </c>
      <c r="N381" s="10" t="s">
        <v>744</v>
      </c>
      <c r="O381" s="9" t="s">
        <v>100</v>
      </c>
      <c r="P381" s="10"/>
      <c r="Q381" s="10" t="s">
        <v>744</v>
      </c>
      <c r="R381" s="10" t="s">
        <v>119</v>
      </c>
      <c r="S381" s="10" t="s">
        <v>130</v>
      </c>
      <c r="T381" s="10" t="s">
        <v>120</v>
      </c>
      <c r="U381" s="10" t="s">
        <v>101</v>
      </c>
      <c r="V381" s="10" t="s">
        <v>121</v>
      </c>
      <c r="W381" s="10" t="s">
        <v>122</v>
      </c>
      <c r="X381" s="10" t="s">
        <v>123</v>
      </c>
      <c r="Y381" s="29">
        <v>1</v>
      </c>
      <c r="Z381" s="138" t="s">
        <v>763</v>
      </c>
      <c r="AA381" s="138">
        <v>44624</v>
      </c>
      <c r="AB381" s="9" t="s">
        <v>114</v>
      </c>
      <c r="AC381" s="9" t="s">
        <v>124</v>
      </c>
      <c r="AD381" s="15">
        <v>44651</v>
      </c>
      <c r="AE381" s="39" t="s">
        <v>125</v>
      </c>
      <c r="AF381" s="177">
        <v>3</v>
      </c>
      <c r="AG381" s="140">
        <v>0</v>
      </c>
      <c r="AH381" s="9">
        <v>0</v>
      </c>
      <c r="AI381" s="10" t="s">
        <v>126</v>
      </c>
      <c r="AJ381" s="10"/>
      <c r="AK381" s="29"/>
      <c r="AL381" s="12">
        <v>1.6767123287671231</v>
      </c>
      <c r="AM381" s="10"/>
      <c r="AN381" s="12">
        <f>FAR[[#This Row],[Opening RUL]]+FAR[[#This Row],[RUL Adjustment]]</f>
        <v>1.6767123287671231</v>
      </c>
      <c r="AO381" s="12">
        <f>FAR[[#This Row],[Opening RUL 30 June 2026]]-1</f>
        <v>0.67671232876712306</v>
      </c>
      <c r="AP381" s="12" t="s">
        <v>1050</v>
      </c>
      <c r="AQ381" s="139"/>
      <c r="AR381" s="10" t="s">
        <v>127</v>
      </c>
      <c r="AS381" s="13">
        <v>41302.379999999997</v>
      </c>
      <c r="AT381" s="13"/>
      <c r="AU381" s="13">
        <v>0</v>
      </c>
      <c r="AV381" s="13">
        <v>0</v>
      </c>
      <c r="AW381" s="13">
        <v>0</v>
      </c>
      <c r="AX381" s="13">
        <v>41302.379999999997</v>
      </c>
      <c r="AY381" s="13">
        <v>11507.685288763874</v>
      </c>
      <c r="AZ381" s="13">
        <v>0</v>
      </c>
      <c r="BA381" s="13"/>
      <c r="BB381" s="13"/>
      <c r="BC381" s="13">
        <v>-29794.694711236123</v>
      </c>
      <c r="BD381" s="13"/>
      <c r="BE381" s="13" t="s">
        <v>114</v>
      </c>
      <c r="BF381" s="29"/>
      <c r="BG381" s="13"/>
      <c r="BH381" s="13">
        <f>-FAR[[#This Row],[Carrying value (opening balance)]]/FAR[[#This Row],[Opening RUL 30 June 2026]]</f>
        <v>-6863.2436771222465</v>
      </c>
      <c r="BI381" s="13">
        <f>FAR[[#This Row],[Depreciation YTD]]/12</f>
        <v>-571.93697309352058</v>
      </c>
      <c r="BJ381" s="13"/>
      <c r="BK381" s="13" t="s">
        <v>116</v>
      </c>
      <c r="BL381" s="13">
        <v>0</v>
      </c>
      <c r="BM381" s="13">
        <f>FAR[[#This Row],[Accumulated depreciation (Opening balance)]]+FAR[[#This Row],[Depreciation YTD]]+FAR[[#This Row],[Derecognitions (acc dep) '[+']]]</f>
        <v>-36657.938388358372</v>
      </c>
      <c r="BN381" s="13"/>
      <c r="BO381" s="13"/>
      <c r="BP381" s="13"/>
      <c r="BQ381" s="13"/>
      <c r="BR38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81" s="13">
        <f>FAR[[#This Row],[Cost Price (closing balance)]]+FAR[[#This Row],[Accumulated depreciation (Closing balance)]]+FAR[[#This Row],[Accumulated impairments (Closing balance)]]</f>
        <v>4644.4416116416251</v>
      </c>
      <c r="BT381" s="13"/>
      <c r="BU381" s="13"/>
      <c r="BV381" s="13"/>
      <c r="BW381" s="10" t="s">
        <v>167</v>
      </c>
      <c r="BX381" s="9" t="s">
        <v>168</v>
      </c>
      <c r="BY381" s="10"/>
      <c r="BZ381" t="s">
        <v>1033</v>
      </c>
      <c r="CA381"/>
      <c r="CB381" s="34"/>
      <c r="CC381" s="34"/>
      <c r="CD381" s="34"/>
      <c r="CE381" s="141"/>
    </row>
    <row r="382" spans="1:83">
      <c r="A382" s="35">
        <v>1529</v>
      </c>
      <c r="B382" s="9" t="s">
        <v>869</v>
      </c>
      <c r="C382" s="9" t="s">
        <v>54</v>
      </c>
      <c r="D382" s="10" t="s">
        <v>1</v>
      </c>
      <c r="E382" s="9" t="s">
        <v>115</v>
      </c>
      <c r="F382" s="36" t="s">
        <v>99</v>
      </c>
      <c r="G382" s="9" t="s">
        <v>100</v>
      </c>
      <c r="H382" s="3" t="s">
        <v>103</v>
      </c>
      <c r="I382" s="9" t="s">
        <v>100</v>
      </c>
      <c r="J382" s="36" t="s">
        <v>101</v>
      </c>
      <c r="K382" s="10" t="s">
        <v>559</v>
      </c>
      <c r="L382" s="10" t="s">
        <v>559</v>
      </c>
      <c r="M382" s="9" t="s">
        <v>100</v>
      </c>
      <c r="N382" s="10" t="s">
        <v>745</v>
      </c>
      <c r="O382" s="9" t="s">
        <v>100</v>
      </c>
      <c r="P382" s="10"/>
      <c r="Q382" s="10" t="s">
        <v>745</v>
      </c>
      <c r="R382" s="10" t="s">
        <v>119</v>
      </c>
      <c r="S382" s="10" t="s">
        <v>130</v>
      </c>
      <c r="T382" s="10" t="s">
        <v>120</v>
      </c>
      <c r="U382" s="10" t="s">
        <v>101</v>
      </c>
      <c r="V382" s="10" t="s">
        <v>121</v>
      </c>
      <c r="W382" s="10" t="s">
        <v>122</v>
      </c>
      <c r="X382" s="10" t="s">
        <v>123</v>
      </c>
      <c r="Y382" s="29">
        <v>1</v>
      </c>
      <c r="Z382" s="138" t="s">
        <v>762</v>
      </c>
      <c r="AA382" s="138">
        <v>44573</v>
      </c>
      <c r="AB382" s="9" t="s">
        <v>114</v>
      </c>
      <c r="AC382" s="9" t="s">
        <v>124</v>
      </c>
      <c r="AD382" s="15">
        <v>44651</v>
      </c>
      <c r="AE382" s="39" t="s">
        <v>125</v>
      </c>
      <c r="AF382" s="177">
        <v>3</v>
      </c>
      <c r="AG382" s="140">
        <v>0</v>
      </c>
      <c r="AH382" s="9">
        <v>0</v>
      </c>
      <c r="AI382" s="10" t="s">
        <v>126</v>
      </c>
      <c r="AJ382" s="10"/>
      <c r="AK382" s="29"/>
      <c r="AL382" s="12">
        <v>1.536986301369863</v>
      </c>
      <c r="AM382" s="10"/>
      <c r="AN382" s="12">
        <f>FAR[[#This Row],[Opening RUL]]+FAR[[#This Row],[RUL Adjustment]]</f>
        <v>1.536986301369863</v>
      </c>
      <c r="AO382" s="12">
        <f>FAR[[#This Row],[Opening RUL 30 June 2026]]-1</f>
        <v>0.53698630136986303</v>
      </c>
      <c r="AP382" s="12" t="s">
        <v>1052</v>
      </c>
      <c r="AQ382" s="139"/>
      <c r="AR382" s="10" t="s">
        <v>127</v>
      </c>
      <c r="AS382" s="13">
        <v>30630.25</v>
      </c>
      <c r="AT382" s="13"/>
      <c r="AU382" s="13">
        <v>0</v>
      </c>
      <c r="AV382" s="13">
        <v>0</v>
      </c>
      <c r="AW382" s="13">
        <v>0</v>
      </c>
      <c r="AX382" s="13">
        <v>30630.25</v>
      </c>
      <c r="AY382" s="13">
        <v>7489.3800376549443</v>
      </c>
      <c r="AZ382" s="13">
        <v>0</v>
      </c>
      <c r="BA382" s="13"/>
      <c r="BB382" s="13"/>
      <c r="BC382" s="13">
        <v>-23140.869962345056</v>
      </c>
      <c r="BD382" s="13"/>
      <c r="BE382" s="13" t="s">
        <v>114</v>
      </c>
      <c r="BF382" s="29"/>
      <c r="BG382" s="13"/>
      <c r="BH382" s="13">
        <f>-FAR[[#This Row],[Carrying value (opening balance)]]/FAR[[#This Row],[Opening RUL 30 June 2026]]</f>
        <v>-4872.7695432157834</v>
      </c>
      <c r="BI382" s="13">
        <f>FAR[[#This Row],[Depreciation YTD]]/12</f>
        <v>-406.0641286013153</v>
      </c>
      <c r="BJ382" s="13"/>
      <c r="BK382" s="13" t="s">
        <v>116</v>
      </c>
      <c r="BL382" s="13">
        <v>0</v>
      </c>
      <c r="BM382" s="13">
        <f>FAR[[#This Row],[Accumulated depreciation (Opening balance)]]+FAR[[#This Row],[Depreciation YTD]]+FAR[[#This Row],[Derecognitions (acc dep) '[+']]]</f>
        <v>-28013.639505560837</v>
      </c>
      <c r="BN382" s="13"/>
      <c r="BO382" s="13"/>
      <c r="BP382" s="13"/>
      <c r="BQ382" s="13"/>
      <c r="BR38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82" s="13">
        <f>FAR[[#This Row],[Cost Price (closing balance)]]+FAR[[#This Row],[Accumulated depreciation (Closing balance)]]+FAR[[#This Row],[Accumulated impairments (Closing balance)]]</f>
        <v>2616.6104944391627</v>
      </c>
      <c r="BT382" s="13"/>
      <c r="BU382" s="13"/>
      <c r="BV382" s="13"/>
      <c r="BW382" s="10" t="s">
        <v>167</v>
      </c>
      <c r="BX382" s="9" t="s">
        <v>168</v>
      </c>
      <c r="BY382" s="10"/>
      <c r="BZ382" t="s">
        <v>1034</v>
      </c>
      <c r="CA382"/>
      <c r="CB382" s="34"/>
      <c r="CC382" s="34"/>
      <c r="CD382" s="34"/>
      <c r="CE382" s="141"/>
    </row>
    <row r="383" spans="1:83">
      <c r="A383" s="35" t="s">
        <v>782</v>
      </c>
      <c r="B383" s="9" t="s">
        <v>925</v>
      </c>
      <c r="C383" s="9" t="s">
        <v>54</v>
      </c>
      <c r="D383" s="10" t="s">
        <v>1</v>
      </c>
      <c r="E383" s="9" t="s">
        <v>115</v>
      </c>
      <c r="F383" s="36" t="s">
        <v>99</v>
      </c>
      <c r="G383" s="9" t="s">
        <v>100</v>
      </c>
      <c r="H383" s="3" t="s">
        <v>105</v>
      </c>
      <c r="I383" s="9" t="s">
        <v>100</v>
      </c>
      <c r="J383" s="36" t="s">
        <v>101</v>
      </c>
      <c r="K383" s="10" t="s">
        <v>559</v>
      </c>
      <c r="L383" s="10" t="s">
        <v>559</v>
      </c>
      <c r="M383" s="9" t="s">
        <v>100</v>
      </c>
      <c r="N383" s="10" t="s">
        <v>783</v>
      </c>
      <c r="O383" s="9" t="s">
        <v>100</v>
      </c>
      <c r="P383" s="10"/>
      <c r="Q383" s="10" t="s">
        <v>783</v>
      </c>
      <c r="R383" s="10" t="s">
        <v>119</v>
      </c>
      <c r="S383" s="10" t="s">
        <v>130</v>
      </c>
      <c r="T383" s="10" t="s">
        <v>120</v>
      </c>
      <c r="U383" s="10" t="s">
        <v>101</v>
      </c>
      <c r="V383" s="10" t="s">
        <v>121</v>
      </c>
      <c r="W383" s="10" t="s">
        <v>122</v>
      </c>
      <c r="X383" s="10" t="s">
        <v>123</v>
      </c>
      <c r="Y383" s="29">
        <v>1</v>
      </c>
      <c r="Z383" s="138" t="s">
        <v>784</v>
      </c>
      <c r="AA383" s="138">
        <v>43235</v>
      </c>
      <c r="AB383" s="9" t="s">
        <v>114</v>
      </c>
      <c r="AC383" s="9" t="s">
        <v>124</v>
      </c>
      <c r="AD383" s="15">
        <v>44651</v>
      </c>
      <c r="AE383" s="39" t="s">
        <v>125</v>
      </c>
      <c r="AF383" s="177">
        <v>5</v>
      </c>
      <c r="AG383" s="140">
        <v>0</v>
      </c>
      <c r="AH383" s="9">
        <v>0</v>
      </c>
      <c r="AI383" s="10" t="s">
        <v>126</v>
      </c>
      <c r="AJ383" s="10"/>
      <c r="AK383" s="29"/>
      <c r="AL383" s="12">
        <v>1.8712328767123285</v>
      </c>
      <c r="AM383" s="10"/>
      <c r="AN383" s="12">
        <f>FAR[[#This Row],[Opening RUL]]+FAR[[#This Row],[RUL Adjustment]]</f>
        <v>1.8712328767123285</v>
      </c>
      <c r="AO383" s="12">
        <f>FAR[[#This Row],[Opening RUL 30 June 2026]]-1</f>
        <v>0.87123287671232852</v>
      </c>
      <c r="AP383" s="12" t="s">
        <v>1050</v>
      </c>
      <c r="AQ383" s="139"/>
      <c r="AR383" s="10" t="s">
        <v>127</v>
      </c>
      <c r="AS383" s="13">
        <v>456050.95338458859</v>
      </c>
      <c r="AT383" s="13"/>
      <c r="AU383" s="13">
        <v>0</v>
      </c>
      <c r="AV383" s="13">
        <v>0</v>
      </c>
      <c r="AW383" s="13">
        <v>0</v>
      </c>
      <c r="AX383" s="13">
        <f>FAR[[#This Row],[Cost Price (opening balance)]]+FAR[[#This Row],[Revaluation Adjustment Cost]]</f>
        <v>456050.95338458859</v>
      </c>
      <c r="AY383" s="13">
        <v>130000</v>
      </c>
      <c r="AZ383" s="13">
        <v>0</v>
      </c>
      <c r="BA383" s="13"/>
      <c r="BB383" s="13">
        <v>0</v>
      </c>
      <c r="BC383" s="13">
        <v>-326050.95338458859</v>
      </c>
      <c r="BD383" s="13"/>
      <c r="BE383" s="13" t="s">
        <v>114</v>
      </c>
      <c r="BF383" s="29"/>
      <c r="BG383" s="13"/>
      <c r="BH383" s="13">
        <f>-FAR[[#This Row],[Carrying value (opening balance)]]/FAR[[#This Row],[Opening RUL 30 June 2026]]</f>
        <v>-69472.913616398248</v>
      </c>
      <c r="BI383" s="13">
        <f>FAR[[#This Row],[Depreciation YTD]]/12</f>
        <v>-5789.4094680331873</v>
      </c>
      <c r="BJ383" s="13"/>
      <c r="BK383" s="13" t="s">
        <v>116</v>
      </c>
      <c r="BL383" s="13">
        <v>0</v>
      </c>
      <c r="BM383" s="13">
        <f>FAR[[#This Row],[Accumulated depreciation (Opening balance)]]+FAR[[#This Row],[Depreciation YTD]]+FAR[[#This Row],[Derecognitions (acc dep) '[+']]]</f>
        <v>-395523.86700098682</v>
      </c>
      <c r="BN383" s="13"/>
      <c r="BO383" s="13"/>
      <c r="BP383" s="13"/>
      <c r="BQ383" s="13"/>
      <c r="BR38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83" s="13">
        <f>FAR[[#This Row],[Cost Price (closing balance)]]+FAR[[#This Row],[Accumulated depreciation (Closing balance)]]+FAR[[#This Row],[Accumulated impairments (Closing balance)]]</f>
        <v>60527.086383601767</v>
      </c>
      <c r="BT383" s="13"/>
      <c r="BU383" s="13"/>
      <c r="BV383" s="13"/>
      <c r="BW383" s="10" t="s">
        <v>167</v>
      </c>
      <c r="BX383" s="9" t="s">
        <v>168</v>
      </c>
      <c r="BY383" s="10"/>
      <c r="BZ383" t="s">
        <v>940</v>
      </c>
      <c r="CA383"/>
      <c r="CB383" s="34"/>
      <c r="CC383" s="34"/>
      <c r="CD383" s="34"/>
      <c r="CE383" s="141"/>
    </row>
    <row r="384" spans="1:83">
      <c r="A384" s="35" t="s">
        <v>786</v>
      </c>
      <c r="B384" s="9" t="s">
        <v>871</v>
      </c>
      <c r="C384" s="9" t="s">
        <v>54</v>
      </c>
      <c r="D384" s="10" t="s">
        <v>1</v>
      </c>
      <c r="E384" s="9" t="s">
        <v>115</v>
      </c>
      <c r="F384" s="36" t="s">
        <v>99</v>
      </c>
      <c r="G384" s="9" t="s">
        <v>100</v>
      </c>
      <c r="H384" s="3" t="s">
        <v>128</v>
      </c>
      <c r="I384" s="9" t="s">
        <v>100</v>
      </c>
      <c r="J384" s="36" t="s">
        <v>101</v>
      </c>
      <c r="K384" s="10" t="s">
        <v>559</v>
      </c>
      <c r="L384" s="10" t="s">
        <v>559</v>
      </c>
      <c r="M384" s="9" t="s">
        <v>100</v>
      </c>
      <c r="N384" s="10" t="s">
        <v>432</v>
      </c>
      <c r="O384" s="9" t="s">
        <v>100</v>
      </c>
      <c r="P384" s="10"/>
      <c r="Q384" s="10" t="s">
        <v>432</v>
      </c>
      <c r="R384" s="10" t="s">
        <v>119</v>
      </c>
      <c r="S384" s="10" t="s">
        <v>130</v>
      </c>
      <c r="T384" s="10" t="s">
        <v>120</v>
      </c>
      <c r="U384" s="10" t="s">
        <v>101</v>
      </c>
      <c r="V384" s="10" t="s">
        <v>121</v>
      </c>
      <c r="W384" s="10" t="s">
        <v>122</v>
      </c>
      <c r="X384" s="10" t="s">
        <v>123</v>
      </c>
      <c r="Y384" s="29">
        <v>1</v>
      </c>
      <c r="Z384" s="138" t="s">
        <v>801</v>
      </c>
      <c r="AA384" s="138">
        <v>38078</v>
      </c>
      <c r="AB384" s="9" t="s">
        <v>114</v>
      </c>
      <c r="AC384" s="9" t="s">
        <v>124</v>
      </c>
      <c r="AD384" s="15">
        <v>44651</v>
      </c>
      <c r="AE384" s="39" t="s">
        <v>125</v>
      </c>
      <c r="AF384" s="177">
        <v>6</v>
      </c>
      <c r="AG384" s="140">
        <v>0</v>
      </c>
      <c r="AH384" s="9">
        <v>0</v>
      </c>
      <c r="AI384" s="10" t="s">
        <v>126</v>
      </c>
      <c r="AJ384" s="10"/>
      <c r="AK384" s="29"/>
      <c r="AL384" s="12">
        <v>1</v>
      </c>
      <c r="AM384" s="10"/>
      <c r="AN384" s="12">
        <f>FAR[[#This Row],[Opening RUL]]+FAR[[#This Row],[RUL Adjustment]]</f>
        <v>1</v>
      </c>
      <c r="AO384" s="12">
        <f>FAR[[#This Row],[Opening RUL 30 June 2026]]-1</f>
        <v>0</v>
      </c>
      <c r="AP384" s="12" t="s">
        <v>1050</v>
      </c>
      <c r="AQ384" s="139"/>
      <c r="AR384" s="10" t="s">
        <v>127</v>
      </c>
      <c r="AS384" s="13">
        <v>2360.94</v>
      </c>
      <c r="AT384" s="13"/>
      <c r="AU384" s="13"/>
      <c r="AV384" s="13"/>
      <c r="AW384" s="13"/>
      <c r="AX384" s="13">
        <v>2360.94</v>
      </c>
      <c r="AY384" s="13">
        <v>131.16333333333341</v>
      </c>
      <c r="AZ384" s="13">
        <v>0</v>
      </c>
      <c r="BA384" s="13"/>
      <c r="BB384" s="13"/>
      <c r="BC384" s="13">
        <v>-2229.7766666666666</v>
      </c>
      <c r="BD384" s="13"/>
      <c r="BE384" s="13" t="s">
        <v>114</v>
      </c>
      <c r="BF384" s="29"/>
      <c r="BG384" s="13"/>
      <c r="BH384" s="13">
        <f>-FAR[[#This Row],[Carrying value (opening balance)]]/FAR[[#This Row],[Opening RUL 30 June 2026]]</f>
        <v>-131.16333333333341</v>
      </c>
      <c r="BI384" s="13">
        <f>FAR[[#This Row],[Depreciation YTD]]/12</f>
        <v>-10.930277777777784</v>
      </c>
      <c r="BJ384" s="13"/>
      <c r="BK384" s="13" t="s">
        <v>116</v>
      </c>
      <c r="BL384" s="13">
        <v>0</v>
      </c>
      <c r="BM384" s="13">
        <f>FAR[[#This Row],[Accumulated depreciation (Opening balance)]]+FAR[[#This Row],[Depreciation YTD]]+FAR[[#This Row],[Derecognitions (acc dep) '[+']]]</f>
        <v>-2360.94</v>
      </c>
      <c r="BN384" s="13"/>
      <c r="BO384" s="13"/>
      <c r="BP384" s="13"/>
      <c r="BQ384" s="13"/>
      <c r="BR38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84" s="13">
        <f>FAR[[#This Row],[Cost Price (closing balance)]]+FAR[[#This Row],[Accumulated depreciation (Closing balance)]]+FAR[[#This Row],[Accumulated impairments (Closing balance)]]</f>
        <v>0</v>
      </c>
      <c r="BT384" s="13">
        <f>FAR[[#This Row],[Accumulated depreciation (Opening balance)]]</f>
        <v>-2229.7766666666666</v>
      </c>
      <c r="BU384" s="13"/>
      <c r="BV384" s="13"/>
      <c r="BW384" s="10"/>
      <c r="BX384" s="9"/>
      <c r="BY384" s="10"/>
      <c r="BZ384" t="s">
        <v>955</v>
      </c>
      <c r="CA384"/>
      <c r="CB384" s="34"/>
      <c r="CC384" s="34"/>
      <c r="CD384" s="34"/>
      <c r="CE384" s="141">
        <f>FAR[[#This Row],[Additions capitalised (@actual cost)]]/FAR[[#This Row],[EUL]]</f>
        <v>0</v>
      </c>
    </row>
    <row r="385" spans="1:83">
      <c r="A385" s="35" t="s">
        <v>787</v>
      </c>
      <c r="B385" s="9" t="s">
        <v>877</v>
      </c>
      <c r="C385" s="9" t="s">
        <v>54</v>
      </c>
      <c r="D385" s="10" t="s">
        <v>1</v>
      </c>
      <c r="E385" s="9" t="s">
        <v>115</v>
      </c>
      <c r="F385" s="36" t="s">
        <v>99</v>
      </c>
      <c r="G385" s="9" t="s">
        <v>100</v>
      </c>
      <c r="H385" s="3" t="s">
        <v>128</v>
      </c>
      <c r="I385" s="9" t="s">
        <v>100</v>
      </c>
      <c r="J385" s="36" t="s">
        <v>101</v>
      </c>
      <c r="K385" s="10" t="s">
        <v>559</v>
      </c>
      <c r="L385" s="10" t="s">
        <v>559</v>
      </c>
      <c r="M385" s="9" t="s">
        <v>100</v>
      </c>
      <c r="N385" s="10" t="s">
        <v>802</v>
      </c>
      <c r="O385" s="9" t="s">
        <v>100</v>
      </c>
      <c r="P385" s="10"/>
      <c r="Q385" s="10" t="s">
        <v>802</v>
      </c>
      <c r="R385" s="10" t="s">
        <v>119</v>
      </c>
      <c r="S385" s="10" t="s">
        <v>130</v>
      </c>
      <c r="T385" s="10" t="s">
        <v>120</v>
      </c>
      <c r="U385" s="10" t="s">
        <v>101</v>
      </c>
      <c r="V385" s="10" t="s">
        <v>121</v>
      </c>
      <c r="W385" s="10" t="s">
        <v>122</v>
      </c>
      <c r="X385" s="10" t="s">
        <v>123</v>
      </c>
      <c r="Y385" s="29">
        <v>1</v>
      </c>
      <c r="Z385" s="138" t="s">
        <v>565</v>
      </c>
      <c r="AA385" s="138">
        <v>38608</v>
      </c>
      <c r="AB385" s="9" t="s">
        <v>114</v>
      </c>
      <c r="AC385" s="9" t="s">
        <v>124</v>
      </c>
      <c r="AD385" s="15">
        <v>44651</v>
      </c>
      <c r="AE385" s="39" t="s">
        <v>125</v>
      </c>
      <c r="AF385" s="177">
        <v>6</v>
      </c>
      <c r="AG385" s="140">
        <v>0</v>
      </c>
      <c r="AH385" s="9">
        <v>0</v>
      </c>
      <c r="AI385" s="10" t="s">
        <v>126</v>
      </c>
      <c r="AJ385" s="10"/>
      <c r="AK385" s="29"/>
      <c r="AL385" s="12">
        <v>1</v>
      </c>
      <c r="AM385" s="10"/>
      <c r="AN385" s="12">
        <f>FAR[[#This Row],[Opening RUL]]+FAR[[#This Row],[RUL Adjustment]]</f>
        <v>1</v>
      </c>
      <c r="AO385" s="12">
        <f>FAR[[#This Row],[Opening RUL 30 June 2026]]-1</f>
        <v>0</v>
      </c>
      <c r="AP385" s="12" t="s">
        <v>1050</v>
      </c>
      <c r="AQ385" s="139"/>
      <c r="AR385" s="10" t="s">
        <v>127</v>
      </c>
      <c r="AS385" s="13">
        <v>1482</v>
      </c>
      <c r="AT385" s="13"/>
      <c r="AU385" s="13"/>
      <c r="AV385" s="13"/>
      <c r="AW385" s="13"/>
      <c r="AX385" s="13">
        <v>1482</v>
      </c>
      <c r="AY385" s="13">
        <v>82.333333333333485</v>
      </c>
      <c r="AZ385" s="13">
        <v>0</v>
      </c>
      <c r="BA385" s="13"/>
      <c r="BB385" s="13"/>
      <c r="BC385" s="13">
        <v>-1399.6666666666665</v>
      </c>
      <c r="BD385" s="13"/>
      <c r="BE385" s="13" t="s">
        <v>114</v>
      </c>
      <c r="BF385" s="29"/>
      <c r="BG385" s="13"/>
      <c r="BH385" s="13">
        <f>-FAR[[#This Row],[Carrying value (opening balance)]]/FAR[[#This Row],[Opening RUL 30 June 2026]]</f>
        <v>-82.333333333333485</v>
      </c>
      <c r="BI385" s="13">
        <f>FAR[[#This Row],[Depreciation YTD]]/12</f>
        <v>-6.861111111111124</v>
      </c>
      <c r="BJ385" s="13"/>
      <c r="BK385" s="13" t="s">
        <v>116</v>
      </c>
      <c r="BL385" s="13">
        <v>0</v>
      </c>
      <c r="BM385" s="13">
        <f>FAR[[#This Row],[Accumulated depreciation (Opening balance)]]+FAR[[#This Row],[Depreciation YTD]]+FAR[[#This Row],[Derecognitions (acc dep) '[+']]]</f>
        <v>-1482</v>
      </c>
      <c r="BN385" s="13"/>
      <c r="BO385" s="13"/>
      <c r="BP385" s="13"/>
      <c r="BQ385" s="13"/>
      <c r="BR38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85" s="13">
        <f>FAR[[#This Row],[Cost Price (closing balance)]]+FAR[[#This Row],[Accumulated depreciation (Closing balance)]]+FAR[[#This Row],[Accumulated impairments (Closing balance)]]</f>
        <v>0</v>
      </c>
      <c r="BT385" s="13">
        <f>FAR[[#This Row],[Accumulated depreciation (Opening balance)]]</f>
        <v>-1399.6666666666665</v>
      </c>
      <c r="BU385" s="13"/>
      <c r="BV385" s="13"/>
      <c r="BW385" s="10"/>
      <c r="BX385" s="9"/>
      <c r="BY385" s="10"/>
      <c r="BZ385" t="s">
        <v>938</v>
      </c>
      <c r="CA385"/>
      <c r="CB385" s="34"/>
      <c r="CC385" s="34"/>
      <c r="CD385" s="34"/>
      <c r="CE385" s="141">
        <f>FAR[[#This Row],[Additions capitalised (@actual cost)]]/FAR[[#This Row],[EUL]]</f>
        <v>0</v>
      </c>
    </row>
    <row r="386" spans="1:83">
      <c r="A386" s="35" t="s">
        <v>788</v>
      </c>
      <c r="B386" s="9" t="s">
        <v>896</v>
      </c>
      <c r="C386" s="9" t="s">
        <v>54</v>
      </c>
      <c r="D386" s="10" t="s">
        <v>1</v>
      </c>
      <c r="E386" s="9" t="s">
        <v>115</v>
      </c>
      <c r="F386" s="36" t="s">
        <v>99</v>
      </c>
      <c r="G386" s="9" t="s">
        <v>100</v>
      </c>
      <c r="H386" s="3" t="s">
        <v>128</v>
      </c>
      <c r="I386" s="9" t="s">
        <v>100</v>
      </c>
      <c r="J386" s="36" t="s">
        <v>101</v>
      </c>
      <c r="K386" s="10" t="s">
        <v>559</v>
      </c>
      <c r="L386" s="10" t="s">
        <v>559</v>
      </c>
      <c r="M386" s="9" t="s">
        <v>100</v>
      </c>
      <c r="N386" s="10" t="s">
        <v>797</v>
      </c>
      <c r="O386" s="9" t="s">
        <v>100</v>
      </c>
      <c r="P386" s="10"/>
      <c r="Q386" s="10" t="s">
        <v>797</v>
      </c>
      <c r="R386" s="10" t="s">
        <v>119</v>
      </c>
      <c r="S386" s="10" t="s">
        <v>130</v>
      </c>
      <c r="T386" s="10" t="s">
        <v>120</v>
      </c>
      <c r="U386" s="10" t="s">
        <v>101</v>
      </c>
      <c r="V386" s="10" t="s">
        <v>121</v>
      </c>
      <c r="W386" s="10" t="s">
        <v>122</v>
      </c>
      <c r="X386" s="10" t="s">
        <v>123</v>
      </c>
      <c r="Y386" s="29">
        <v>1</v>
      </c>
      <c r="Z386" s="138" t="s">
        <v>566</v>
      </c>
      <c r="AA386" s="138">
        <v>38611</v>
      </c>
      <c r="AB386" s="9" t="s">
        <v>114</v>
      </c>
      <c r="AC386" s="9" t="s">
        <v>124</v>
      </c>
      <c r="AD386" s="15">
        <v>44651</v>
      </c>
      <c r="AE386" s="39" t="s">
        <v>125</v>
      </c>
      <c r="AF386" s="177">
        <v>6</v>
      </c>
      <c r="AG386" s="140">
        <v>0</v>
      </c>
      <c r="AH386" s="9">
        <v>0</v>
      </c>
      <c r="AI386" s="10" t="s">
        <v>126</v>
      </c>
      <c r="AJ386" s="10"/>
      <c r="AK386" s="29"/>
      <c r="AL386" s="12">
        <v>1</v>
      </c>
      <c r="AM386" s="10"/>
      <c r="AN386" s="12">
        <f>FAR[[#This Row],[Opening RUL]]+FAR[[#This Row],[RUL Adjustment]]</f>
        <v>1</v>
      </c>
      <c r="AO386" s="12">
        <f>FAR[[#This Row],[Opening RUL 30 June 2026]]-1</f>
        <v>0</v>
      </c>
      <c r="AP386" s="12" t="s">
        <v>1050</v>
      </c>
      <c r="AQ386" s="139"/>
      <c r="AR386" s="10" t="s">
        <v>127</v>
      </c>
      <c r="AS386" s="13">
        <v>2052</v>
      </c>
      <c r="AT386" s="13"/>
      <c r="AU386" s="13"/>
      <c r="AV386" s="13"/>
      <c r="AW386" s="13"/>
      <c r="AX386" s="13">
        <v>2052</v>
      </c>
      <c r="AY386" s="13">
        <v>114</v>
      </c>
      <c r="AZ386" s="13">
        <v>0</v>
      </c>
      <c r="BA386" s="13"/>
      <c r="BB386" s="13"/>
      <c r="BC386" s="13">
        <v>-1938</v>
      </c>
      <c r="BD386" s="13"/>
      <c r="BE386" s="13" t="s">
        <v>114</v>
      </c>
      <c r="BF386" s="29"/>
      <c r="BG386" s="13"/>
      <c r="BH386" s="13">
        <f>-FAR[[#This Row],[Carrying value (opening balance)]]/FAR[[#This Row],[Opening RUL 30 June 2026]]</f>
        <v>-114</v>
      </c>
      <c r="BI386" s="13">
        <f>FAR[[#This Row],[Depreciation YTD]]/12</f>
        <v>-9.5</v>
      </c>
      <c r="BJ386" s="13"/>
      <c r="BK386" s="13" t="s">
        <v>116</v>
      </c>
      <c r="BL386" s="13">
        <v>0</v>
      </c>
      <c r="BM386" s="13">
        <f>FAR[[#This Row],[Accumulated depreciation (Opening balance)]]+FAR[[#This Row],[Depreciation YTD]]+FAR[[#This Row],[Derecognitions (acc dep) '[+']]]</f>
        <v>-2052</v>
      </c>
      <c r="BN386" s="13"/>
      <c r="BO386" s="13"/>
      <c r="BP386" s="13"/>
      <c r="BQ386" s="13"/>
      <c r="BR38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86" s="13">
        <f>FAR[[#This Row],[Cost Price (closing balance)]]+FAR[[#This Row],[Accumulated depreciation (Closing balance)]]+FAR[[#This Row],[Accumulated impairments (Closing balance)]]</f>
        <v>0</v>
      </c>
      <c r="BT386" s="13">
        <f>FAR[[#This Row],[Accumulated depreciation (Opening balance)]]</f>
        <v>-1938</v>
      </c>
      <c r="BU386" s="13"/>
      <c r="BV386" s="13"/>
      <c r="BW386" s="10"/>
      <c r="BX386" s="9"/>
      <c r="BY386" s="10"/>
      <c r="BZ386" t="s">
        <v>942</v>
      </c>
      <c r="CA386"/>
      <c r="CB386" s="34"/>
      <c r="CC386" s="34"/>
      <c r="CD386" s="34"/>
      <c r="CE386" s="141">
        <f>FAR[[#This Row],[Additions capitalised (@actual cost)]]/FAR[[#This Row],[EUL]]</f>
        <v>0</v>
      </c>
    </row>
    <row r="387" spans="1:83">
      <c r="A387" s="35" t="s">
        <v>789</v>
      </c>
      <c r="B387" s="9" t="s">
        <v>926</v>
      </c>
      <c r="C387" s="9" t="s">
        <v>54</v>
      </c>
      <c r="D387" s="10" t="s">
        <v>1</v>
      </c>
      <c r="E387" s="9" t="s">
        <v>115</v>
      </c>
      <c r="F387" s="36" t="s">
        <v>99</v>
      </c>
      <c r="G387" s="9" t="s">
        <v>100</v>
      </c>
      <c r="H387" s="3" t="s">
        <v>128</v>
      </c>
      <c r="I387" s="9" t="s">
        <v>100</v>
      </c>
      <c r="J387" s="36" t="s">
        <v>101</v>
      </c>
      <c r="K387" s="10" t="s">
        <v>559</v>
      </c>
      <c r="L387" s="10" t="s">
        <v>559</v>
      </c>
      <c r="M387" s="9" t="s">
        <v>100</v>
      </c>
      <c r="N387" s="10" t="s">
        <v>797</v>
      </c>
      <c r="O387" s="9" t="s">
        <v>100</v>
      </c>
      <c r="P387" s="10"/>
      <c r="Q387" s="10" t="s">
        <v>797</v>
      </c>
      <c r="R387" s="10" t="s">
        <v>119</v>
      </c>
      <c r="S387" s="10" t="s">
        <v>130</v>
      </c>
      <c r="T387" s="10" t="s">
        <v>120</v>
      </c>
      <c r="U387" s="10" t="s">
        <v>101</v>
      </c>
      <c r="V387" s="10" t="s">
        <v>121</v>
      </c>
      <c r="W387" s="10" t="s">
        <v>122</v>
      </c>
      <c r="X387" s="10" t="s">
        <v>123</v>
      </c>
      <c r="Y387" s="29">
        <v>1</v>
      </c>
      <c r="Z387" s="138" t="s">
        <v>566</v>
      </c>
      <c r="AA387" s="138">
        <v>38611</v>
      </c>
      <c r="AB387" s="9" t="s">
        <v>114</v>
      </c>
      <c r="AC387" s="9" t="s">
        <v>124</v>
      </c>
      <c r="AD387" s="15">
        <v>44651</v>
      </c>
      <c r="AE387" s="39" t="s">
        <v>125</v>
      </c>
      <c r="AF387" s="177">
        <v>6</v>
      </c>
      <c r="AG387" s="140">
        <v>0</v>
      </c>
      <c r="AH387" s="9">
        <v>0</v>
      </c>
      <c r="AI387" s="10" t="s">
        <v>126</v>
      </c>
      <c r="AJ387" s="10"/>
      <c r="AK387" s="29"/>
      <c r="AL387" s="12">
        <v>1</v>
      </c>
      <c r="AM387" s="10"/>
      <c r="AN387" s="12">
        <f>FAR[[#This Row],[Opening RUL]]+FAR[[#This Row],[RUL Adjustment]]</f>
        <v>1</v>
      </c>
      <c r="AO387" s="12">
        <f>FAR[[#This Row],[Opening RUL 30 June 2026]]-1</f>
        <v>0</v>
      </c>
      <c r="AP387" s="12" t="s">
        <v>1050</v>
      </c>
      <c r="AQ387" s="139"/>
      <c r="AR387" s="10" t="s">
        <v>127</v>
      </c>
      <c r="AS387" s="13">
        <v>2052</v>
      </c>
      <c r="AT387" s="13"/>
      <c r="AU387" s="13"/>
      <c r="AV387" s="13"/>
      <c r="AW387" s="13"/>
      <c r="AX387" s="13">
        <v>2052</v>
      </c>
      <c r="AY387" s="13">
        <v>114</v>
      </c>
      <c r="AZ387" s="13">
        <v>0</v>
      </c>
      <c r="BA387" s="13"/>
      <c r="BB387" s="13"/>
      <c r="BC387" s="13">
        <v>-1938</v>
      </c>
      <c r="BD387" s="13"/>
      <c r="BE387" s="13" t="s">
        <v>114</v>
      </c>
      <c r="BF387" s="29"/>
      <c r="BG387" s="13"/>
      <c r="BH387" s="13">
        <f>-FAR[[#This Row],[Carrying value (opening balance)]]/FAR[[#This Row],[Opening RUL 30 June 2026]]</f>
        <v>-114</v>
      </c>
      <c r="BI387" s="13">
        <f>FAR[[#This Row],[Depreciation YTD]]/12</f>
        <v>-9.5</v>
      </c>
      <c r="BJ387" s="13"/>
      <c r="BK387" s="13" t="s">
        <v>116</v>
      </c>
      <c r="BL387" s="13">
        <v>0</v>
      </c>
      <c r="BM387" s="13">
        <f>FAR[[#This Row],[Accumulated depreciation (Opening balance)]]+FAR[[#This Row],[Depreciation YTD]]+FAR[[#This Row],[Derecognitions (acc dep) '[+']]]</f>
        <v>-2052</v>
      </c>
      <c r="BN387" s="13"/>
      <c r="BO387" s="13"/>
      <c r="BP387" s="13"/>
      <c r="BQ387" s="13"/>
      <c r="BR38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87" s="13">
        <f>FAR[[#This Row],[Cost Price (closing balance)]]+FAR[[#This Row],[Accumulated depreciation (Closing balance)]]+FAR[[#This Row],[Accumulated impairments (Closing balance)]]</f>
        <v>0</v>
      </c>
      <c r="BT387" s="13">
        <f>FAR[[#This Row],[Accumulated depreciation (Opening balance)]]</f>
        <v>-1938</v>
      </c>
      <c r="BU387" s="13"/>
      <c r="BV387" s="13"/>
      <c r="BW387" s="10"/>
      <c r="BX387" s="9"/>
      <c r="BY387" s="10"/>
      <c r="BZ387" t="s">
        <v>940</v>
      </c>
      <c r="CA387"/>
      <c r="CB387" s="34"/>
      <c r="CC387" s="34"/>
      <c r="CD387" s="34"/>
      <c r="CE387" s="141">
        <f>FAR[[#This Row],[Additions capitalised (@actual cost)]]/FAR[[#This Row],[EUL]]</f>
        <v>0</v>
      </c>
    </row>
    <row r="388" spans="1:83">
      <c r="A388" s="35" t="s">
        <v>790</v>
      </c>
      <c r="B388" s="9" t="s">
        <v>864</v>
      </c>
      <c r="C388" s="9" t="s">
        <v>54</v>
      </c>
      <c r="D388" s="10" t="s">
        <v>1</v>
      </c>
      <c r="E388" s="9" t="s">
        <v>115</v>
      </c>
      <c r="F388" s="36" t="s">
        <v>99</v>
      </c>
      <c r="G388" s="9" t="s">
        <v>100</v>
      </c>
      <c r="H388" s="3" t="s">
        <v>128</v>
      </c>
      <c r="I388" s="9" t="s">
        <v>100</v>
      </c>
      <c r="J388" s="36" t="s">
        <v>101</v>
      </c>
      <c r="K388" s="10" t="s">
        <v>559</v>
      </c>
      <c r="L388" s="10" t="s">
        <v>559</v>
      </c>
      <c r="M388" s="9" t="s">
        <v>100</v>
      </c>
      <c r="N388" s="10" t="s">
        <v>797</v>
      </c>
      <c r="O388" s="9" t="s">
        <v>100</v>
      </c>
      <c r="P388" s="10"/>
      <c r="Q388" s="10" t="s">
        <v>797</v>
      </c>
      <c r="R388" s="10" t="s">
        <v>119</v>
      </c>
      <c r="S388" s="10" t="s">
        <v>130</v>
      </c>
      <c r="T388" s="10" t="s">
        <v>120</v>
      </c>
      <c r="U388" s="10" t="s">
        <v>101</v>
      </c>
      <c r="V388" s="10" t="s">
        <v>121</v>
      </c>
      <c r="W388" s="10" t="s">
        <v>122</v>
      </c>
      <c r="X388" s="10" t="s">
        <v>123</v>
      </c>
      <c r="Y388" s="29">
        <v>1</v>
      </c>
      <c r="Z388" s="138" t="s">
        <v>566</v>
      </c>
      <c r="AA388" s="138">
        <v>38611</v>
      </c>
      <c r="AB388" s="9" t="s">
        <v>114</v>
      </c>
      <c r="AC388" s="9" t="s">
        <v>124</v>
      </c>
      <c r="AD388" s="15">
        <v>44651</v>
      </c>
      <c r="AE388" s="39" t="s">
        <v>125</v>
      </c>
      <c r="AF388" s="177">
        <v>6</v>
      </c>
      <c r="AG388" s="140">
        <v>0</v>
      </c>
      <c r="AH388" s="9">
        <v>0</v>
      </c>
      <c r="AI388" s="10" t="s">
        <v>126</v>
      </c>
      <c r="AJ388" s="10"/>
      <c r="AK388" s="29"/>
      <c r="AL388" s="12">
        <v>1</v>
      </c>
      <c r="AM388" s="10"/>
      <c r="AN388" s="12">
        <f>FAR[[#This Row],[Opening RUL]]+FAR[[#This Row],[RUL Adjustment]]</f>
        <v>1</v>
      </c>
      <c r="AO388" s="12">
        <f>FAR[[#This Row],[Opening RUL 30 June 2026]]-1</f>
        <v>0</v>
      </c>
      <c r="AP388" s="12" t="s">
        <v>1050</v>
      </c>
      <c r="AQ388" s="139"/>
      <c r="AR388" s="10" t="s">
        <v>127</v>
      </c>
      <c r="AS388" s="13">
        <v>2052</v>
      </c>
      <c r="AT388" s="13"/>
      <c r="AU388" s="13"/>
      <c r="AV388" s="13"/>
      <c r="AW388" s="13"/>
      <c r="AX388" s="13">
        <v>2052</v>
      </c>
      <c r="AY388" s="13">
        <v>114</v>
      </c>
      <c r="AZ388" s="13">
        <v>0</v>
      </c>
      <c r="BA388" s="13"/>
      <c r="BB388" s="13"/>
      <c r="BC388" s="13">
        <v>-1938</v>
      </c>
      <c r="BD388" s="13"/>
      <c r="BE388" s="13" t="s">
        <v>114</v>
      </c>
      <c r="BF388" s="29"/>
      <c r="BG388" s="13"/>
      <c r="BH388" s="13">
        <f>-FAR[[#This Row],[Carrying value (opening balance)]]/FAR[[#This Row],[Opening RUL 30 June 2026]]</f>
        <v>-114</v>
      </c>
      <c r="BI388" s="13">
        <f>FAR[[#This Row],[Depreciation YTD]]/12</f>
        <v>-9.5</v>
      </c>
      <c r="BJ388" s="13"/>
      <c r="BK388" s="13" t="s">
        <v>116</v>
      </c>
      <c r="BL388" s="13">
        <v>0</v>
      </c>
      <c r="BM388" s="13">
        <f>FAR[[#This Row],[Accumulated depreciation (Opening balance)]]+FAR[[#This Row],[Depreciation YTD]]+FAR[[#This Row],[Derecognitions (acc dep) '[+']]]</f>
        <v>-2052</v>
      </c>
      <c r="BN388" s="13"/>
      <c r="BO388" s="13"/>
      <c r="BP388" s="13"/>
      <c r="BQ388" s="13"/>
      <c r="BR38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88" s="13">
        <f>FAR[[#This Row],[Cost Price (closing balance)]]+FAR[[#This Row],[Accumulated depreciation (Closing balance)]]+FAR[[#This Row],[Accumulated impairments (Closing balance)]]</f>
        <v>0</v>
      </c>
      <c r="BT388" s="13">
        <f>FAR[[#This Row],[Accumulated depreciation (Opening balance)]]</f>
        <v>-1938</v>
      </c>
      <c r="BU388" s="13"/>
      <c r="BV388" s="13"/>
      <c r="BW388" s="10"/>
      <c r="BX388" s="9"/>
      <c r="BY388" s="10"/>
      <c r="BZ388" t="s">
        <v>948</v>
      </c>
      <c r="CA388"/>
      <c r="CB388" s="34"/>
      <c r="CC388" s="34"/>
      <c r="CD388" s="34"/>
      <c r="CE388" s="141">
        <f>FAR[[#This Row],[Additions capitalised (@actual cost)]]/FAR[[#This Row],[EUL]]</f>
        <v>0</v>
      </c>
    </row>
    <row r="389" spans="1:83">
      <c r="A389" s="35" t="s">
        <v>791</v>
      </c>
      <c r="B389" s="9" t="s">
        <v>897</v>
      </c>
      <c r="C389" s="9" t="s">
        <v>54</v>
      </c>
      <c r="D389" s="10" t="s">
        <v>1</v>
      </c>
      <c r="E389" s="9" t="s">
        <v>115</v>
      </c>
      <c r="F389" s="36" t="s">
        <v>99</v>
      </c>
      <c r="G389" s="9" t="s">
        <v>100</v>
      </c>
      <c r="H389" s="3" t="s">
        <v>128</v>
      </c>
      <c r="I389" s="9" t="s">
        <v>100</v>
      </c>
      <c r="J389" s="36" t="s">
        <v>101</v>
      </c>
      <c r="K389" s="10" t="s">
        <v>559</v>
      </c>
      <c r="L389" s="10" t="s">
        <v>559</v>
      </c>
      <c r="M389" s="9" t="s">
        <v>100</v>
      </c>
      <c r="N389" s="10" t="s">
        <v>543</v>
      </c>
      <c r="O389" s="9" t="s">
        <v>100</v>
      </c>
      <c r="P389" s="10"/>
      <c r="Q389" s="10" t="s">
        <v>543</v>
      </c>
      <c r="R389" s="10" t="s">
        <v>119</v>
      </c>
      <c r="S389" s="10" t="s">
        <v>130</v>
      </c>
      <c r="T389" s="10" t="s">
        <v>120</v>
      </c>
      <c r="U389" s="10" t="s">
        <v>101</v>
      </c>
      <c r="V389" s="10" t="s">
        <v>121</v>
      </c>
      <c r="W389" s="10" t="s">
        <v>122</v>
      </c>
      <c r="X389" s="10" t="s">
        <v>123</v>
      </c>
      <c r="Y389" s="29">
        <v>1</v>
      </c>
      <c r="Z389" s="138" t="s">
        <v>667</v>
      </c>
      <c r="AA389" s="138">
        <v>39934</v>
      </c>
      <c r="AB389" s="9" t="s">
        <v>114</v>
      </c>
      <c r="AC389" s="9" t="s">
        <v>124</v>
      </c>
      <c r="AD389" s="15">
        <v>44651</v>
      </c>
      <c r="AE389" s="39" t="s">
        <v>125</v>
      </c>
      <c r="AF389" s="177">
        <v>6</v>
      </c>
      <c r="AG389" s="140">
        <v>0</v>
      </c>
      <c r="AH389" s="9">
        <v>0</v>
      </c>
      <c r="AI389" s="10" t="s">
        <v>126</v>
      </c>
      <c r="AJ389" s="10"/>
      <c r="AK389" s="29"/>
      <c r="AL389" s="12">
        <v>1</v>
      </c>
      <c r="AM389" s="10"/>
      <c r="AN389" s="12">
        <f>FAR[[#This Row],[Opening RUL]]+FAR[[#This Row],[RUL Adjustment]]</f>
        <v>1</v>
      </c>
      <c r="AO389" s="12">
        <f>FAR[[#This Row],[Opening RUL 30 June 2026]]-1</f>
        <v>0</v>
      </c>
      <c r="AP389" s="12" t="s">
        <v>1051</v>
      </c>
      <c r="AQ389" s="139"/>
      <c r="AR389" s="10" t="s">
        <v>127</v>
      </c>
      <c r="AS389" s="13">
        <v>691</v>
      </c>
      <c r="AT389" s="13"/>
      <c r="AU389" s="13"/>
      <c r="AV389" s="13"/>
      <c r="AW389" s="13"/>
      <c r="AX389" s="13">
        <v>691</v>
      </c>
      <c r="AY389" s="13">
        <v>38.388888888888914</v>
      </c>
      <c r="AZ389" s="13">
        <v>0</v>
      </c>
      <c r="BA389" s="13"/>
      <c r="BB389" s="13"/>
      <c r="BC389" s="13">
        <v>-652.61111111111109</v>
      </c>
      <c r="BD389" s="13"/>
      <c r="BE389" s="13" t="s">
        <v>114</v>
      </c>
      <c r="BF389" s="29"/>
      <c r="BG389" s="13"/>
      <c r="BH389" s="13">
        <f>-FAR[[#This Row],[Carrying value (opening balance)]]/FAR[[#This Row],[Opening RUL 30 June 2026]]</f>
        <v>-38.388888888888914</v>
      </c>
      <c r="BI389" s="13">
        <f>FAR[[#This Row],[Depreciation YTD]]/12</f>
        <v>-3.1990740740740762</v>
      </c>
      <c r="BJ389" s="13"/>
      <c r="BK389" s="13" t="s">
        <v>116</v>
      </c>
      <c r="BL389" s="13">
        <v>0</v>
      </c>
      <c r="BM389" s="13">
        <f>FAR[[#This Row],[Accumulated depreciation (Opening balance)]]+FAR[[#This Row],[Depreciation YTD]]+FAR[[#This Row],[Derecognitions (acc dep) '[+']]]</f>
        <v>-691</v>
      </c>
      <c r="BN389" s="13"/>
      <c r="BO389" s="13"/>
      <c r="BP389" s="13"/>
      <c r="BQ389" s="13"/>
      <c r="BR38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89" s="13">
        <f>FAR[[#This Row],[Cost Price (closing balance)]]+FAR[[#This Row],[Accumulated depreciation (Closing balance)]]+FAR[[#This Row],[Accumulated impairments (Closing balance)]]</f>
        <v>0</v>
      </c>
      <c r="BT389" s="13">
        <f>FAR[[#This Row],[Accumulated depreciation (Opening balance)]]</f>
        <v>-652.61111111111109</v>
      </c>
      <c r="BU389" s="13"/>
      <c r="BV389" s="13"/>
      <c r="BW389" s="10"/>
      <c r="BX389" s="9"/>
      <c r="BY389" s="10"/>
      <c r="BZ389" t="s">
        <v>982</v>
      </c>
      <c r="CA389"/>
      <c r="CB389" s="34"/>
      <c r="CC389" s="34"/>
      <c r="CD389" s="34"/>
      <c r="CE389" s="141">
        <f>FAR[[#This Row],[Additions capitalised (@actual cost)]]/FAR[[#This Row],[EUL]]</f>
        <v>0</v>
      </c>
    </row>
    <row r="390" spans="1:83">
      <c r="A390" s="35" t="s">
        <v>792</v>
      </c>
      <c r="B390" s="9" t="s">
        <v>893</v>
      </c>
      <c r="C390" s="9" t="s">
        <v>54</v>
      </c>
      <c r="D390" s="10" t="s">
        <v>1</v>
      </c>
      <c r="E390" s="9" t="s">
        <v>115</v>
      </c>
      <c r="F390" s="36" t="s">
        <v>99</v>
      </c>
      <c r="G390" s="9" t="s">
        <v>100</v>
      </c>
      <c r="H390" s="3" t="s">
        <v>128</v>
      </c>
      <c r="I390" s="9" t="s">
        <v>100</v>
      </c>
      <c r="J390" s="36" t="s">
        <v>101</v>
      </c>
      <c r="K390" s="10" t="s">
        <v>559</v>
      </c>
      <c r="L390" s="10" t="s">
        <v>559</v>
      </c>
      <c r="M390" s="9" t="s">
        <v>100</v>
      </c>
      <c r="N390" s="10" t="s">
        <v>798</v>
      </c>
      <c r="O390" s="9" t="s">
        <v>100</v>
      </c>
      <c r="P390" s="10"/>
      <c r="Q390" s="10" t="s">
        <v>798</v>
      </c>
      <c r="R390" s="10" t="s">
        <v>119</v>
      </c>
      <c r="S390" s="10" t="s">
        <v>130</v>
      </c>
      <c r="T390" s="10" t="s">
        <v>120</v>
      </c>
      <c r="U390" s="10" t="s">
        <v>101</v>
      </c>
      <c r="V390" s="10" t="s">
        <v>121</v>
      </c>
      <c r="W390" s="10" t="s">
        <v>122</v>
      </c>
      <c r="X390" s="10" t="s">
        <v>123</v>
      </c>
      <c r="Y390" s="29">
        <v>1</v>
      </c>
      <c r="Z390" s="138" t="s">
        <v>584</v>
      </c>
      <c r="AA390" s="138">
        <v>41548</v>
      </c>
      <c r="AB390" s="9" t="s">
        <v>114</v>
      </c>
      <c r="AC390" s="9" t="s">
        <v>124</v>
      </c>
      <c r="AD390" s="15">
        <v>44651</v>
      </c>
      <c r="AE390" s="39" t="s">
        <v>125</v>
      </c>
      <c r="AF390" s="177">
        <v>6</v>
      </c>
      <c r="AG390" s="140">
        <v>0</v>
      </c>
      <c r="AH390" s="9">
        <v>0</v>
      </c>
      <c r="AI390" s="10" t="s">
        <v>126</v>
      </c>
      <c r="AJ390" s="10"/>
      <c r="AK390" s="29"/>
      <c r="AL390" s="12">
        <v>1</v>
      </c>
      <c r="AM390" s="10"/>
      <c r="AN390" s="12">
        <f>FAR[[#This Row],[Opening RUL]]+FAR[[#This Row],[RUL Adjustment]]</f>
        <v>1</v>
      </c>
      <c r="AO390" s="12">
        <f>FAR[[#This Row],[Opening RUL 30 June 2026]]-1</f>
        <v>0</v>
      </c>
      <c r="AP390" s="12" t="s">
        <v>1050</v>
      </c>
      <c r="AQ390" s="139"/>
      <c r="AR390" s="10" t="s">
        <v>127</v>
      </c>
      <c r="AS390" s="13">
        <v>4250</v>
      </c>
      <c r="AT390" s="13"/>
      <c r="AU390" s="13"/>
      <c r="AV390" s="13"/>
      <c r="AW390" s="13"/>
      <c r="AX390" s="13">
        <v>4250</v>
      </c>
      <c r="AY390" s="13">
        <v>236.11111111111131</v>
      </c>
      <c r="AZ390" s="13">
        <v>0</v>
      </c>
      <c r="BA390" s="13"/>
      <c r="BB390" s="13"/>
      <c r="BC390" s="13">
        <v>-4013.8888888888887</v>
      </c>
      <c r="BD390" s="13"/>
      <c r="BE390" s="13" t="s">
        <v>114</v>
      </c>
      <c r="BF390" s="29"/>
      <c r="BG390" s="13"/>
      <c r="BH390" s="13">
        <f>-FAR[[#This Row],[Carrying value (opening balance)]]/FAR[[#This Row],[Opening RUL 30 June 2026]]</f>
        <v>-236.11111111111131</v>
      </c>
      <c r="BI390" s="13">
        <f>FAR[[#This Row],[Depreciation YTD]]/12</f>
        <v>-19.675925925925942</v>
      </c>
      <c r="BJ390" s="13"/>
      <c r="BK390" s="13" t="s">
        <v>116</v>
      </c>
      <c r="BL390" s="13">
        <v>0</v>
      </c>
      <c r="BM390" s="13">
        <f>FAR[[#This Row],[Accumulated depreciation (Opening balance)]]+FAR[[#This Row],[Depreciation YTD]]+FAR[[#This Row],[Derecognitions (acc dep) '[+']]]</f>
        <v>-4250</v>
      </c>
      <c r="BN390" s="13"/>
      <c r="BO390" s="13"/>
      <c r="BP390" s="13"/>
      <c r="BQ390" s="13"/>
      <c r="BR39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90" s="13">
        <f>FAR[[#This Row],[Cost Price (closing balance)]]+FAR[[#This Row],[Accumulated depreciation (Closing balance)]]+FAR[[#This Row],[Accumulated impairments (Closing balance)]]</f>
        <v>0</v>
      </c>
      <c r="BT390" s="13">
        <f>FAR[[#This Row],[Accumulated depreciation (Opening balance)]]</f>
        <v>-4013.8888888888887</v>
      </c>
      <c r="BU390" s="13"/>
      <c r="BV390" s="13"/>
      <c r="BW390" s="10"/>
      <c r="BX390" s="9"/>
      <c r="BY390" s="10"/>
      <c r="BZ390" t="s">
        <v>979</v>
      </c>
      <c r="CA390"/>
      <c r="CB390" s="34"/>
      <c r="CC390" s="34"/>
      <c r="CD390" s="34"/>
      <c r="CE390" s="141">
        <f>FAR[[#This Row],[Additions capitalised (@actual cost)]]/FAR[[#This Row],[EUL]]</f>
        <v>0</v>
      </c>
    </row>
    <row r="391" spans="1:83">
      <c r="A391" s="35">
        <v>1192</v>
      </c>
      <c r="B391" s="9" t="s">
        <v>889</v>
      </c>
      <c r="C391" s="9" t="s">
        <v>54</v>
      </c>
      <c r="D391" s="10" t="s">
        <v>1</v>
      </c>
      <c r="E391" s="9" t="s">
        <v>115</v>
      </c>
      <c r="F391" s="36" t="s">
        <v>99</v>
      </c>
      <c r="G391" s="9" t="s">
        <v>100</v>
      </c>
      <c r="H391" s="3" t="s">
        <v>128</v>
      </c>
      <c r="I391" s="9" t="s">
        <v>100</v>
      </c>
      <c r="J391" s="36" t="s">
        <v>101</v>
      </c>
      <c r="K391" s="10" t="s">
        <v>559</v>
      </c>
      <c r="L391" s="10" t="s">
        <v>559</v>
      </c>
      <c r="M391" s="9" t="s">
        <v>100</v>
      </c>
      <c r="N391" s="10" t="s">
        <v>797</v>
      </c>
      <c r="O391" s="9" t="s">
        <v>100</v>
      </c>
      <c r="P391" s="10"/>
      <c r="Q391" s="10" t="s">
        <v>797</v>
      </c>
      <c r="R391" s="10" t="s">
        <v>119</v>
      </c>
      <c r="S391" s="10" t="s">
        <v>130</v>
      </c>
      <c r="T391" s="10" t="s">
        <v>120</v>
      </c>
      <c r="U391" s="10" t="s">
        <v>101</v>
      </c>
      <c r="V391" s="10" t="s">
        <v>121</v>
      </c>
      <c r="W391" s="10" t="s">
        <v>122</v>
      </c>
      <c r="X391" s="10" t="s">
        <v>123</v>
      </c>
      <c r="Y391" s="29">
        <v>1</v>
      </c>
      <c r="Z391" s="138" t="s">
        <v>566</v>
      </c>
      <c r="AA391" s="138">
        <v>38611</v>
      </c>
      <c r="AB391" s="9" t="s">
        <v>114</v>
      </c>
      <c r="AC391" s="9" t="s">
        <v>124</v>
      </c>
      <c r="AD391" s="15">
        <v>44651</v>
      </c>
      <c r="AE391" s="39" t="s">
        <v>125</v>
      </c>
      <c r="AF391" s="177">
        <v>6</v>
      </c>
      <c r="AG391" s="140">
        <v>0</v>
      </c>
      <c r="AH391" s="9">
        <v>0</v>
      </c>
      <c r="AI391" s="10" t="s">
        <v>126</v>
      </c>
      <c r="AJ391" s="10"/>
      <c r="AK391" s="29"/>
      <c r="AL391" s="12">
        <v>1</v>
      </c>
      <c r="AM391" s="10"/>
      <c r="AN391" s="12">
        <f>FAR[[#This Row],[Opening RUL]]+FAR[[#This Row],[RUL Adjustment]]</f>
        <v>1</v>
      </c>
      <c r="AO391" s="12">
        <f>FAR[[#This Row],[Opening RUL 30 June 2026]]-1</f>
        <v>0</v>
      </c>
      <c r="AP391" s="12" t="s">
        <v>1050</v>
      </c>
      <c r="AQ391" s="139"/>
      <c r="AR391" s="10" t="s">
        <v>127</v>
      </c>
      <c r="AS391" s="13">
        <v>2052</v>
      </c>
      <c r="AT391" s="13"/>
      <c r="AU391" s="13"/>
      <c r="AV391" s="13"/>
      <c r="AW391" s="13"/>
      <c r="AX391" s="13">
        <v>2052</v>
      </c>
      <c r="AY391" s="13">
        <v>114</v>
      </c>
      <c r="AZ391" s="13">
        <v>0</v>
      </c>
      <c r="BA391" s="13"/>
      <c r="BB391" s="13"/>
      <c r="BC391" s="13">
        <v>-1938</v>
      </c>
      <c r="BD391" s="13"/>
      <c r="BE391" s="13" t="s">
        <v>114</v>
      </c>
      <c r="BF391" s="29"/>
      <c r="BG391" s="13"/>
      <c r="BH391" s="13">
        <f>-FAR[[#This Row],[Carrying value (opening balance)]]/FAR[[#This Row],[Opening RUL 30 June 2026]]</f>
        <v>-114</v>
      </c>
      <c r="BI391" s="13">
        <f>FAR[[#This Row],[Depreciation YTD]]/12</f>
        <v>-9.5</v>
      </c>
      <c r="BJ391" s="13"/>
      <c r="BK391" s="13" t="s">
        <v>116</v>
      </c>
      <c r="BL391" s="13">
        <v>0</v>
      </c>
      <c r="BM391" s="13">
        <f>FAR[[#This Row],[Accumulated depreciation (Opening balance)]]+FAR[[#This Row],[Depreciation YTD]]+FAR[[#This Row],[Derecognitions (acc dep) '[+']]]</f>
        <v>-2052</v>
      </c>
      <c r="BN391" s="13"/>
      <c r="BO391" s="13"/>
      <c r="BP391" s="13"/>
      <c r="BQ391" s="13"/>
      <c r="BR39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91" s="13">
        <f>FAR[[#This Row],[Cost Price (closing balance)]]+FAR[[#This Row],[Accumulated depreciation (Closing balance)]]+FAR[[#This Row],[Accumulated impairments (Closing balance)]]</f>
        <v>0</v>
      </c>
      <c r="BT391" s="13">
        <f>FAR[[#This Row],[Accumulated depreciation (Opening balance)]]</f>
        <v>-1938</v>
      </c>
      <c r="BU391" s="13"/>
      <c r="BV391" s="13"/>
      <c r="BW391" s="10"/>
      <c r="BX391" s="9"/>
      <c r="BY391" s="10"/>
      <c r="BZ391" t="s">
        <v>978</v>
      </c>
      <c r="CA391"/>
      <c r="CB391" s="34"/>
      <c r="CC391" s="34"/>
      <c r="CD391" s="34"/>
      <c r="CE391" s="141">
        <f>FAR[[#This Row],[Additions capitalised (@actual cost)]]/FAR[[#This Row],[EUL]]</f>
        <v>0</v>
      </c>
    </row>
    <row r="392" spans="1:83">
      <c r="A392" s="35">
        <v>688</v>
      </c>
      <c r="B392" s="9" t="s">
        <v>873</v>
      </c>
      <c r="C392" s="9" t="s">
        <v>54</v>
      </c>
      <c r="D392" s="10" t="s">
        <v>1</v>
      </c>
      <c r="E392" s="9" t="s">
        <v>115</v>
      </c>
      <c r="F392" s="36" t="s">
        <v>99</v>
      </c>
      <c r="G392" s="9" t="s">
        <v>100</v>
      </c>
      <c r="H392" s="3" t="s">
        <v>128</v>
      </c>
      <c r="I392" s="9" t="s">
        <v>100</v>
      </c>
      <c r="J392" s="36" t="s">
        <v>101</v>
      </c>
      <c r="K392" s="10" t="s">
        <v>559</v>
      </c>
      <c r="L392" s="10" t="s">
        <v>559</v>
      </c>
      <c r="M392" s="9" t="s">
        <v>100</v>
      </c>
      <c r="N392" s="10" t="s">
        <v>515</v>
      </c>
      <c r="O392" s="9" t="s">
        <v>100</v>
      </c>
      <c r="P392" s="10"/>
      <c r="Q392" s="10" t="s">
        <v>515</v>
      </c>
      <c r="R392" s="10" t="s">
        <v>119</v>
      </c>
      <c r="S392" s="10" t="s">
        <v>130</v>
      </c>
      <c r="T392" s="10" t="s">
        <v>120</v>
      </c>
      <c r="U392" s="10" t="s">
        <v>101</v>
      </c>
      <c r="V392" s="10" t="s">
        <v>121</v>
      </c>
      <c r="W392" s="10" t="s">
        <v>122</v>
      </c>
      <c r="X392" s="10" t="s">
        <v>123</v>
      </c>
      <c r="Y392" s="29">
        <v>1</v>
      </c>
      <c r="Z392" s="138">
        <v>38443</v>
      </c>
      <c r="AA392" s="138">
        <v>38443</v>
      </c>
      <c r="AB392" s="9" t="s">
        <v>114</v>
      </c>
      <c r="AC392" s="9" t="s">
        <v>124</v>
      </c>
      <c r="AD392" s="15">
        <v>44651</v>
      </c>
      <c r="AE392" s="39" t="s">
        <v>125</v>
      </c>
      <c r="AF392" s="177">
        <v>6</v>
      </c>
      <c r="AG392" s="140">
        <v>0</v>
      </c>
      <c r="AH392" s="9">
        <v>0</v>
      </c>
      <c r="AI392" s="10" t="s">
        <v>126</v>
      </c>
      <c r="AJ392" s="10"/>
      <c r="AK392" s="29"/>
      <c r="AL392" s="12">
        <v>1</v>
      </c>
      <c r="AM392" s="10"/>
      <c r="AN392" s="12">
        <f>FAR[[#This Row],[Opening RUL]]+FAR[[#This Row],[RUL Adjustment]]</f>
        <v>1</v>
      </c>
      <c r="AO392" s="12">
        <f>FAR[[#This Row],[Opening RUL 30 June 2026]]-1</f>
        <v>0</v>
      </c>
      <c r="AP392" s="12" t="s">
        <v>1052</v>
      </c>
      <c r="AQ392" s="139"/>
      <c r="AR392" s="10" t="s">
        <v>127</v>
      </c>
      <c r="AS392" s="13">
        <v>850</v>
      </c>
      <c r="AT392" s="13"/>
      <c r="AU392" s="13"/>
      <c r="AV392" s="13"/>
      <c r="AW392" s="13"/>
      <c r="AX392" s="13">
        <v>850</v>
      </c>
      <c r="AY392" s="13">
        <v>47.222222222222172</v>
      </c>
      <c r="AZ392" s="13">
        <v>0</v>
      </c>
      <c r="BA392" s="13"/>
      <c r="BB392" s="13"/>
      <c r="BC392" s="13">
        <v>-802.77777777777783</v>
      </c>
      <c r="BD392" s="13"/>
      <c r="BE392" s="13" t="s">
        <v>114</v>
      </c>
      <c r="BF392" s="29"/>
      <c r="BG392" s="13"/>
      <c r="BH392" s="13">
        <f>-FAR[[#This Row],[Carrying value (opening balance)]]/FAR[[#This Row],[Opening RUL 30 June 2026]]</f>
        <v>-47.222222222222172</v>
      </c>
      <c r="BI392" s="13">
        <f>FAR[[#This Row],[Depreciation YTD]]/12</f>
        <v>-3.9351851851851811</v>
      </c>
      <c r="BJ392" s="13"/>
      <c r="BK392" s="13" t="s">
        <v>116</v>
      </c>
      <c r="BL392" s="13">
        <v>0</v>
      </c>
      <c r="BM392" s="13">
        <f>FAR[[#This Row],[Accumulated depreciation (Opening balance)]]+FAR[[#This Row],[Depreciation YTD]]+FAR[[#This Row],[Derecognitions (acc dep) '[+']]]</f>
        <v>-850</v>
      </c>
      <c r="BN392" s="13"/>
      <c r="BO392" s="13"/>
      <c r="BP392" s="13"/>
      <c r="BQ392" s="13"/>
      <c r="BR39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92" s="13">
        <f>FAR[[#This Row],[Cost Price (closing balance)]]+FAR[[#This Row],[Accumulated depreciation (Closing balance)]]+FAR[[#This Row],[Accumulated impairments (Closing balance)]]</f>
        <v>0</v>
      </c>
      <c r="BT392" s="13">
        <f>FAR[[#This Row],[Accumulated depreciation (Opening balance)]]</f>
        <v>-802.77777777777783</v>
      </c>
      <c r="BU392" s="13"/>
      <c r="BV392" s="13"/>
      <c r="BW392" s="10"/>
      <c r="BX392" s="9"/>
      <c r="BY392" s="10"/>
      <c r="BZ392" t="s">
        <v>1035</v>
      </c>
      <c r="CA392"/>
      <c r="CB392" s="34"/>
      <c r="CC392" s="34"/>
      <c r="CD392" s="34"/>
      <c r="CE392" s="141">
        <f>FAR[[#This Row],[Additions capitalised (@actual cost)]]/FAR[[#This Row],[EUL]]</f>
        <v>0</v>
      </c>
    </row>
    <row r="393" spans="1:83">
      <c r="A393" s="35" t="s">
        <v>794</v>
      </c>
      <c r="B393" s="9" t="s">
        <v>864</v>
      </c>
      <c r="C393" s="9" t="s">
        <v>54</v>
      </c>
      <c r="D393" s="10" t="s">
        <v>1</v>
      </c>
      <c r="E393" s="9" t="s">
        <v>115</v>
      </c>
      <c r="F393" s="36" t="s">
        <v>99</v>
      </c>
      <c r="G393" s="9" t="s">
        <v>100</v>
      </c>
      <c r="H393" s="3" t="s">
        <v>128</v>
      </c>
      <c r="I393" s="9" t="s">
        <v>100</v>
      </c>
      <c r="J393" s="36" t="s">
        <v>101</v>
      </c>
      <c r="K393" s="10" t="s">
        <v>559</v>
      </c>
      <c r="L393" s="10" t="s">
        <v>559</v>
      </c>
      <c r="M393" s="9" t="s">
        <v>100</v>
      </c>
      <c r="N393" s="10" t="s">
        <v>465</v>
      </c>
      <c r="O393" s="9" t="s">
        <v>100</v>
      </c>
      <c r="P393" s="10"/>
      <c r="Q393" s="10" t="s">
        <v>465</v>
      </c>
      <c r="R393" s="10" t="s">
        <v>119</v>
      </c>
      <c r="S393" s="10" t="s">
        <v>130</v>
      </c>
      <c r="T393" s="10" t="s">
        <v>120</v>
      </c>
      <c r="U393" s="10" t="s">
        <v>101</v>
      </c>
      <c r="V393" s="10" t="s">
        <v>121</v>
      </c>
      <c r="W393" s="10" t="s">
        <v>122</v>
      </c>
      <c r="X393" s="10" t="s">
        <v>123</v>
      </c>
      <c r="Y393" s="29">
        <v>1</v>
      </c>
      <c r="Z393" s="138" t="s">
        <v>566</v>
      </c>
      <c r="AA393" s="138">
        <v>38611</v>
      </c>
      <c r="AB393" s="9" t="s">
        <v>114</v>
      </c>
      <c r="AC393" s="9" t="s">
        <v>124</v>
      </c>
      <c r="AD393" s="15">
        <v>44651</v>
      </c>
      <c r="AE393" s="39" t="s">
        <v>125</v>
      </c>
      <c r="AF393" s="177">
        <v>6</v>
      </c>
      <c r="AG393" s="140">
        <v>0</v>
      </c>
      <c r="AH393" s="9">
        <v>0</v>
      </c>
      <c r="AI393" s="10" t="s">
        <v>126</v>
      </c>
      <c r="AJ393" s="10"/>
      <c r="AK393" s="29"/>
      <c r="AL393" s="12">
        <v>1</v>
      </c>
      <c r="AM393" s="10"/>
      <c r="AN393" s="12">
        <f>FAR[[#This Row],[Opening RUL]]+FAR[[#This Row],[RUL Adjustment]]</f>
        <v>1</v>
      </c>
      <c r="AO393" s="12">
        <f>FAR[[#This Row],[Opening RUL 30 June 2026]]-1</f>
        <v>0</v>
      </c>
      <c r="AP393" s="12" t="s">
        <v>1050</v>
      </c>
      <c r="AQ393" s="139"/>
      <c r="AR393" s="10" t="s">
        <v>127</v>
      </c>
      <c r="AS393" s="13">
        <v>2052</v>
      </c>
      <c r="AT393" s="13"/>
      <c r="AU393" s="13"/>
      <c r="AV393" s="13"/>
      <c r="AW393" s="13"/>
      <c r="AX393" s="13">
        <v>2052</v>
      </c>
      <c r="AY393" s="13">
        <v>114</v>
      </c>
      <c r="AZ393" s="13">
        <v>0</v>
      </c>
      <c r="BA393" s="13"/>
      <c r="BB393" s="13"/>
      <c r="BC393" s="13">
        <v>-1938</v>
      </c>
      <c r="BD393" s="13"/>
      <c r="BE393" s="13" t="s">
        <v>114</v>
      </c>
      <c r="BF393" s="29"/>
      <c r="BG393" s="13"/>
      <c r="BH393" s="13">
        <f>-FAR[[#This Row],[Carrying value (opening balance)]]/FAR[[#This Row],[Opening RUL 30 June 2026]]</f>
        <v>-114</v>
      </c>
      <c r="BI393" s="13">
        <f>FAR[[#This Row],[Depreciation YTD]]/12</f>
        <v>-9.5</v>
      </c>
      <c r="BJ393" s="13"/>
      <c r="BK393" s="13" t="s">
        <v>116</v>
      </c>
      <c r="BL393" s="13">
        <v>0</v>
      </c>
      <c r="BM393" s="13">
        <f>FAR[[#This Row],[Accumulated depreciation (Opening balance)]]+FAR[[#This Row],[Depreciation YTD]]+FAR[[#This Row],[Derecognitions (acc dep) '[+']]]</f>
        <v>-2052</v>
      </c>
      <c r="BN393" s="13"/>
      <c r="BO393" s="13"/>
      <c r="BP393" s="13"/>
      <c r="BQ393" s="13"/>
      <c r="BR39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93" s="13">
        <f>FAR[[#This Row],[Cost Price (closing balance)]]+FAR[[#This Row],[Accumulated depreciation (Closing balance)]]+FAR[[#This Row],[Accumulated impairments (Closing balance)]]</f>
        <v>0</v>
      </c>
      <c r="BT393" s="13">
        <f>FAR[[#This Row],[Accumulated depreciation (Opening balance)]]</f>
        <v>-1938</v>
      </c>
      <c r="BU393" s="13"/>
      <c r="BV393" s="13"/>
      <c r="BW393" s="10"/>
      <c r="BX393" s="9"/>
      <c r="BY393" s="10"/>
      <c r="BZ393" t="s">
        <v>948</v>
      </c>
      <c r="CA393"/>
      <c r="CB393" s="34"/>
      <c r="CC393" s="34"/>
      <c r="CD393" s="34"/>
      <c r="CE393" s="141">
        <f>FAR[[#This Row],[Additions capitalised (@actual cost)]]/FAR[[#This Row],[EUL]]</f>
        <v>0</v>
      </c>
    </row>
    <row r="394" spans="1:83">
      <c r="A394" s="35" t="s">
        <v>795</v>
      </c>
      <c r="B394" s="9" t="s">
        <v>859</v>
      </c>
      <c r="C394" s="9" t="s">
        <v>54</v>
      </c>
      <c r="D394" s="10" t="s">
        <v>1</v>
      </c>
      <c r="E394" s="9" t="s">
        <v>115</v>
      </c>
      <c r="F394" s="36" t="s">
        <v>99</v>
      </c>
      <c r="G394" s="9" t="s">
        <v>100</v>
      </c>
      <c r="H394" s="3" t="s">
        <v>128</v>
      </c>
      <c r="I394" s="9" t="s">
        <v>100</v>
      </c>
      <c r="J394" s="36" t="s">
        <v>101</v>
      </c>
      <c r="K394" s="10" t="s">
        <v>559</v>
      </c>
      <c r="L394" s="10" t="s">
        <v>559</v>
      </c>
      <c r="M394" s="9" t="s">
        <v>100</v>
      </c>
      <c r="N394" s="10" t="s">
        <v>444</v>
      </c>
      <c r="O394" s="9" t="s">
        <v>100</v>
      </c>
      <c r="P394" s="10"/>
      <c r="Q394" s="10" t="s">
        <v>444</v>
      </c>
      <c r="R394" s="10" t="s">
        <v>119</v>
      </c>
      <c r="S394" s="10" t="s">
        <v>130</v>
      </c>
      <c r="T394" s="10" t="s">
        <v>120</v>
      </c>
      <c r="U394" s="10" t="s">
        <v>101</v>
      </c>
      <c r="V394" s="10" t="s">
        <v>121</v>
      </c>
      <c r="W394" s="10" t="s">
        <v>122</v>
      </c>
      <c r="X394" s="10" t="s">
        <v>123</v>
      </c>
      <c r="Y394" s="29">
        <v>1</v>
      </c>
      <c r="Z394" s="138">
        <v>38078</v>
      </c>
      <c r="AA394" s="138">
        <v>38078</v>
      </c>
      <c r="AB394" s="9" t="s">
        <v>114</v>
      </c>
      <c r="AC394" s="9" t="s">
        <v>124</v>
      </c>
      <c r="AD394" s="15">
        <v>44651</v>
      </c>
      <c r="AE394" s="39" t="s">
        <v>125</v>
      </c>
      <c r="AF394" s="177">
        <v>6</v>
      </c>
      <c r="AG394" s="140">
        <v>0</v>
      </c>
      <c r="AH394" s="9">
        <v>0</v>
      </c>
      <c r="AI394" s="10" t="s">
        <v>126</v>
      </c>
      <c r="AJ394" s="10"/>
      <c r="AK394" s="29"/>
      <c r="AL394" s="12">
        <v>1</v>
      </c>
      <c r="AM394" s="10"/>
      <c r="AN394" s="12">
        <f>FAR[[#This Row],[Opening RUL]]+FAR[[#This Row],[RUL Adjustment]]</f>
        <v>1</v>
      </c>
      <c r="AO394" s="12">
        <f>FAR[[#This Row],[Opening RUL 30 June 2026]]-1</f>
        <v>0</v>
      </c>
      <c r="AP394" s="12" t="s">
        <v>1050</v>
      </c>
      <c r="AQ394" s="139"/>
      <c r="AR394" s="10" t="s">
        <v>127</v>
      </c>
      <c r="AS394" s="13">
        <v>6460.38</v>
      </c>
      <c r="AT394" s="13"/>
      <c r="AU394" s="13"/>
      <c r="AV394" s="13"/>
      <c r="AW394" s="13"/>
      <c r="AX394" s="13">
        <v>6460.38</v>
      </c>
      <c r="AY394" s="13">
        <v>358.91000000000076</v>
      </c>
      <c r="AZ394" s="13">
        <v>0</v>
      </c>
      <c r="BA394" s="13"/>
      <c r="BB394" s="13"/>
      <c r="BC394" s="13">
        <v>-6101.4699999999993</v>
      </c>
      <c r="BD394" s="13"/>
      <c r="BE394" s="13" t="s">
        <v>114</v>
      </c>
      <c r="BF394" s="29"/>
      <c r="BG394" s="13"/>
      <c r="BH394" s="13">
        <f>-FAR[[#This Row],[Carrying value (opening balance)]]/FAR[[#This Row],[Opening RUL 30 June 2026]]</f>
        <v>-358.91000000000076</v>
      </c>
      <c r="BI394" s="13">
        <f>FAR[[#This Row],[Depreciation YTD]]/12</f>
        <v>-29.909166666666732</v>
      </c>
      <c r="BJ394" s="13"/>
      <c r="BK394" s="13" t="s">
        <v>116</v>
      </c>
      <c r="BL394" s="13">
        <v>0</v>
      </c>
      <c r="BM394" s="13">
        <f>FAR[[#This Row],[Accumulated depreciation (Opening balance)]]+FAR[[#This Row],[Depreciation YTD]]+FAR[[#This Row],[Derecognitions (acc dep) '[+']]]</f>
        <v>-6460.38</v>
      </c>
      <c r="BN394" s="13"/>
      <c r="BO394" s="13"/>
      <c r="BP394" s="13"/>
      <c r="BQ394" s="13"/>
      <c r="BR39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94" s="13">
        <f>FAR[[#This Row],[Cost Price (closing balance)]]+FAR[[#This Row],[Accumulated depreciation (Closing balance)]]+FAR[[#This Row],[Accumulated impairments (Closing balance)]]</f>
        <v>0</v>
      </c>
      <c r="BT394" s="13">
        <f>FAR[[#This Row],[Accumulated depreciation (Opening balance)]]</f>
        <v>-6101.4699999999993</v>
      </c>
      <c r="BU394" s="13"/>
      <c r="BV394" s="13"/>
      <c r="BW394" s="10"/>
      <c r="BX394" s="9"/>
      <c r="BY394" s="10"/>
      <c r="BZ394" t="s">
        <v>944</v>
      </c>
      <c r="CA394"/>
      <c r="CB394" s="34"/>
      <c r="CC394" s="34"/>
      <c r="CD394" s="34"/>
      <c r="CE394" s="141">
        <f>FAR[[#This Row],[Additions capitalised (@actual cost)]]/FAR[[#This Row],[EUL]]</f>
        <v>0</v>
      </c>
    </row>
    <row r="395" spans="1:83">
      <c r="A395" s="35" t="s">
        <v>796</v>
      </c>
      <c r="B395" s="9" t="s">
        <v>864</v>
      </c>
      <c r="C395" s="9" t="s">
        <v>54</v>
      </c>
      <c r="D395" s="10" t="s">
        <v>1</v>
      </c>
      <c r="E395" s="9" t="s">
        <v>115</v>
      </c>
      <c r="F395" s="36" t="s">
        <v>99</v>
      </c>
      <c r="G395" s="9" t="s">
        <v>100</v>
      </c>
      <c r="H395" s="3" t="s">
        <v>128</v>
      </c>
      <c r="I395" s="9" t="s">
        <v>100</v>
      </c>
      <c r="J395" s="36" t="s">
        <v>101</v>
      </c>
      <c r="K395" s="10" t="s">
        <v>559</v>
      </c>
      <c r="L395" s="10" t="s">
        <v>559</v>
      </c>
      <c r="M395" s="9" t="s">
        <v>100</v>
      </c>
      <c r="N395" s="10" t="s">
        <v>498</v>
      </c>
      <c r="O395" s="9" t="s">
        <v>100</v>
      </c>
      <c r="P395" s="10"/>
      <c r="Q395" s="10" t="s">
        <v>498</v>
      </c>
      <c r="R395" s="10" t="s">
        <v>119</v>
      </c>
      <c r="S395" s="10" t="s">
        <v>130</v>
      </c>
      <c r="T395" s="10" t="s">
        <v>120</v>
      </c>
      <c r="U395" s="10" t="s">
        <v>101</v>
      </c>
      <c r="V395" s="10" t="s">
        <v>121</v>
      </c>
      <c r="W395" s="10" t="s">
        <v>122</v>
      </c>
      <c r="X395" s="10" t="s">
        <v>123</v>
      </c>
      <c r="Y395" s="29">
        <v>1</v>
      </c>
      <c r="Z395" s="138">
        <v>38078</v>
      </c>
      <c r="AA395" s="138">
        <v>38078</v>
      </c>
      <c r="AB395" s="9" t="s">
        <v>114</v>
      </c>
      <c r="AC395" s="9" t="s">
        <v>124</v>
      </c>
      <c r="AD395" s="15">
        <v>44651</v>
      </c>
      <c r="AE395" s="39" t="s">
        <v>125</v>
      </c>
      <c r="AF395" s="177">
        <v>6</v>
      </c>
      <c r="AG395" s="140">
        <v>0</v>
      </c>
      <c r="AH395" s="9">
        <v>0</v>
      </c>
      <c r="AI395" s="10" t="s">
        <v>126</v>
      </c>
      <c r="AJ395" s="10"/>
      <c r="AK395" s="29"/>
      <c r="AL395" s="12">
        <v>1</v>
      </c>
      <c r="AM395" s="10"/>
      <c r="AN395" s="12">
        <f>FAR[[#This Row],[Opening RUL]]+FAR[[#This Row],[RUL Adjustment]]</f>
        <v>1</v>
      </c>
      <c r="AO395" s="12">
        <f>FAR[[#This Row],[Opening RUL 30 June 2026]]-1</f>
        <v>0</v>
      </c>
      <c r="AP395" s="12" t="s">
        <v>1050</v>
      </c>
      <c r="AQ395" s="139"/>
      <c r="AR395" s="10" t="s">
        <v>127</v>
      </c>
      <c r="AS395" s="13">
        <v>3780.24</v>
      </c>
      <c r="AT395" s="13"/>
      <c r="AU395" s="13"/>
      <c r="AV395" s="13"/>
      <c r="AW395" s="13"/>
      <c r="AX395" s="13">
        <v>3780.24</v>
      </c>
      <c r="AY395" s="13">
        <v>210.01333333333332</v>
      </c>
      <c r="AZ395" s="13">
        <v>0</v>
      </c>
      <c r="BA395" s="13"/>
      <c r="BB395" s="13"/>
      <c r="BC395" s="13">
        <v>-3570.2266666666665</v>
      </c>
      <c r="BD395" s="13"/>
      <c r="BE395" s="13" t="s">
        <v>114</v>
      </c>
      <c r="BF395" s="29"/>
      <c r="BG395" s="13"/>
      <c r="BH395" s="13">
        <f>-FAR[[#This Row],[Carrying value (opening balance)]]/FAR[[#This Row],[Opening RUL 30 June 2026]]</f>
        <v>-210.01333333333332</v>
      </c>
      <c r="BI395" s="13">
        <f>FAR[[#This Row],[Depreciation YTD]]/12</f>
        <v>-17.501111111111111</v>
      </c>
      <c r="BJ395" s="13"/>
      <c r="BK395" s="13" t="s">
        <v>116</v>
      </c>
      <c r="BL395" s="13">
        <v>0</v>
      </c>
      <c r="BM395" s="13">
        <f>FAR[[#This Row],[Accumulated depreciation (Opening balance)]]+FAR[[#This Row],[Depreciation YTD]]+FAR[[#This Row],[Derecognitions (acc dep) '[+']]]</f>
        <v>-3780.24</v>
      </c>
      <c r="BN395" s="13"/>
      <c r="BO395" s="13"/>
      <c r="BP395" s="13"/>
      <c r="BQ395" s="13"/>
      <c r="BR39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95" s="13">
        <f>FAR[[#This Row],[Cost Price (closing balance)]]+FAR[[#This Row],[Accumulated depreciation (Closing balance)]]+FAR[[#This Row],[Accumulated impairments (Closing balance)]]</f>
        <v>0</v>
      </c>
      <c r="BT395" s="13">
        <f>FAR[[#This Row],[Accumulated depreciation (Opening balance)]]</f>
        <v>-3570.2266666666665</v>
      </c>
      <c r="BU395" s="13"/>
      <c r="BV395" s="13"/>
      <c r="BW395" s="10"/>
      <c r="BX395" s="9"/>
      <c r="BY395" s="10"/>
      <c r="BZ395" t="s">
        <v>948</v>
      </c>
      <c r="CA395"/>
      <c r="CB395" s="34"/>
      <c r="CC395" s="34"/>
      <c r="CD395" s="34"/>
      <c r="CE395" s="141">
        <f>FAR[[#This Row],[Additions capitalised (@actual cost)]]/FAR[[#This Row],[EUL]]</f>
        <v>0</v>
      </c>
    </row>
    <row r="396" spans="1:83">
      <c r="A396" s="35">
        <v>1603</v>
      </c>
      <c r="B396" s="9" t="s">
        <v>935</v>
      </c>
      <c r="C396" s="9" t="s">
        <v>54</v>
      </c>
      <c r="D396" s="10" t="s">
        <v>1</v>
      </c>
      <c r="E396" s="9" t="s">
        <v>115</v>
      </c>
      <c r="F396" s="36" t="s">
        <v>99</v>
      </c>
      <c r="G396" s="9" t="s">
        <v>100</v>
      </c>
      <c r="H396" s="3" t="s">
        <v>128</v>
      </c>
      <c r="I396" s="9" t="s">
        <v>100</v>
      </c>
      <c r="J396" s="36" t="s">
        <v>101</v>
      </c>
      <c r="K396" s="10" t="s">
        <v>559</v>
      </c>
      <c r="L396" s="10" t="s">
        <v>559</v>
      </c>
      <c r="M396" s="9" t="s">
        <v>100</v>
      </c>
      <c r="N396" s="10" t="s">
        <v>553</v>
      </c>
      <c r="O396" s="9" t="s">
        <v>100</v>
      </c>
      <c r="P396" s="10"/>
      <c r="Q396" s="10" t="s">
        <v>553</v>
      </c>
      <c r="R396" s="10" t="s">
        <v>119</v>
      </c>
      <c r="S396" s="10" t="s">
        <v>130</v>
      </c>
      <c r="T396" s="10" t="s">
        <v>120</v>
      </c>
      <c r="U396" s="10" t="s">
        <v>101</v>
      </c>
      <c r="V396" s="10" t="s">
        <v>121</v>
      </c>
      <c r="W396" s="10" t="s">
        <v>122</v>
      </c>
      <c r="X396" s="10" t="s">
        <v>123</v>
      </c>
      <c r="Y396" s="29">
        <v>1</v>
      </c>
      <c r="Z396" s="138" t="s">
        <v>598</v>
      </c>
      <c r="AA396" s="138">
        <v>44865</v>
      </c>
      <c r="AB396" s="9" t="s">
        <v>114</v>
      </c>
      <c r="AC396" s="9" t="s">
        <v>124</v>
      </c>
      <c r="AD396" s="15">
        <v>45016</v>
      </c>
      <c r="AE396" s="39" t="s">
        <v>125</v>
      </c>
      <c r="AF396" s="177">
        <v>6</v>
      </c>
      <c r="AG396" s="140">
        <v>0</v>
      </c>
      <c r="AH396" s="9">
        <v>0</v>
      </c>
      <c r="AI396" s="10" t="s">
        <v>126</v>
      </c>
      <c r="AJ396" s="10"/>
      <c r="AK396" s="29"/>
      <c r="AL396" s="12">
        <v>3.5863013698630137</v>
      </c>
      <c r="AM396" s="10">
        <v>0</v>
      </c>
      <c r="AN396" s="12">
        <f>FAR[[#This Row],[Opening RUL]]+FAR[[#This Row],[RUL Adjustment]]</f>
        <v>3.5863013698630137</v>
      </c>
      <c r="AO396" s="12">
        <f>FAR[[#This Row],[Opening RUL 30 June 2026]]-1</f>
        <v>2.5863013698630137</v>
      </c>
      <c r="AP396" s="12" t="s">
        <v>1050</v>
      </c>
      <c r="AQ396" s="139"/>
      <c r="AR396" s="10" t="s">
        <v>127</v>
      </c>
      <c r="AS396" s="13">
        <v>3296.2</v>
      </c>
      <c r="AT396" s="13"/>
      <c r="AU396" s="13"/>
      <c r="AV396" s="13"/>
      <c r="AW396" s="13"/>
      <c r="AX396" s="13">
        <v>3296.2</v>
      </c>
      <c r="AY396" s="13">
        <v>1970.194429223744</v>
      </c>
      <c r="AZ396" s="13">
        <v>0</v>
      </c>
      <c r="BA396" s="13"/>
      <c r="BB396" s="13"/>
      <c r="BC396" s="13">
        <v>-1326.0055707762558</v>
      </c>
      <c r="BD396" s="13"/>
      <c r="BE396" s="13" t="s">
        <v>114</v>
      </c>
      <c r="BF396" s="29"/>
      <c r="BG396" s="13"/>
      <c r="BH396" s="13">
        <f>-FAR[[#This Row],[Carrying value (opening balance)]]/FAR[[#This Row],[Opening RUL 30 June 2026]]</f>
        <v>-549.36666666666656</v>
      </c>
      <c r="BI396" s="13">
        <f>FAR[[#This Row],[Depreciation YTD]]/12</f>
        <v>-45.780555555555544</v>
      </c>
      <c r="BJ396" s="13"/>
      <c r="BK396" s="13" t="s">
        <v>116</v>
      </c>
      <c r="BL396" s="13">
        <v>0</v>
      </c>
      <c r="BM396" s="13">
        <f>FAR[[#This Row],[Accumulated depreciation (Opening balance)]]+FAR[[#This Row],[Depreciation YTD]]+FAR[[#This Row],[Derecognitions (acc dep) '[+']]]</f>
        <v>-1875.3722374429224</v>
      </c>
      <c r="BN396" s="13"/>
      <c r="BO396" s="13"/>
      <c r="BP396" s="13"/>
      <c r="BQ396" s="13"/>
      <c r="BR39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96" s="13">
        <f>FAR[[#This Row],[Cost Price (closing balance)]]+FAR[[#This Row],[Accumulated depreciation (Closing balance)]]+FAR[[#This Row],[Accumulated impairments (Closing balance)]]</f>
        <v>1420.8277625570774</v>
      </c>
      <c r="BT396" s="13">
        <f>FAR[[#This Row],[Accumulated depreciation (Opening balance)]]</f>
        <v>-1326.0055707762558</v>
      </c>
      <c r="BU396" s="13"/>
      <c r="BV396" s="13"/>
      <c r="BW396" s="10"/>
      <c r="BX396" s="9"/>
      <c r="BY396" s="10"/>
      <c r="BZ396" t="s">
        <v>1036</v>
      </c>
      <c r="CA396"/>
      <c r="CB396" s="34"/>
      <c r="CC396" s="34"/>
      <c r="CD396" s="34"/>
      <c r="CE396" s="141">
        <f>FAR[[#This Row],[Additions capitalised (@actual cost)]]/FAR[[#This Row],[EUL]]</f>
        <v>0</v>
      </c>
    </row>
    <row r="397" spans="1:83">
      <c r="A397" s="35">
        <v>1604</v>
      </c>
      <c r="B397" s="9" t="s">
        <v>877</v>
      </c>
      <c r="C397" s="9" t="s">
        <v>54</v>
      </c>
      <c r="D397" s="10" t="s">
        <v>1</v>
      </c>
      <c r="E397" s="9" t="s">
        <v>115</v>
      </c>
      <c r="F397" s="36" t="s">
        <v>99</v>
      </c>
      <c r="G397" s="9" t="s">
        <v>100</v>
      </c>
      <c r="H397" s="3" t="s">
        <v>128</v>
      </c>
      <c r="I397" s="9" t="s">
        <v>100</v>
      </c>
      <c r="J397" s="36" t="s">
        <v>101</v>
      </c>
      <c r="K397" s="10" t="s">
        <v>559</v>
      </c>
      <c r="L397" s="10" t="s">
        <v>559</v>
      </c>
      <c r="M397" s="9" t="s">
        <v>100</v>
      </c>
      <c r="N397" s="10" t="s">
        <v>553</v>
      </c>
      <c r="O397" s="9" t="s">
        <v>100</v>
      </c>
      <c r="P397" s="10"/>
      <c r="Q397" s="10" t="s">
        <v>553</v>
      </c>
      <c r="R397" s="10" t="s">
        <v>119</v>
      </c>
      <c r="S397" s="10" t="s">
        <v>130</v>
      </c>
      <c r="T397" s="10" t="s">
        <v>120</v>
      </c>
      <c r="U397" s="10" t="s">
        <v>101</v>
      </c>
      <c r="V397" s="10" t="s">
        <v>121</v>
      </c>
      <c r="W397" s="10" t="s">
        <v>122</v>
      </c>
      <c r="X397" s="10" t="s">
        <v>123</v>
      </c>
      <c r="Y397" s="29">
        <v>1</v>
      </c>
      <c r="Z397" s="138" t="s">
        <v>598</v>
      </c>
      <c r="AA397" s="138">
        <v>44865</v>
      </c>
      <c r="AB397" s="9" t="s">
        <v>114</v>
      </c>
      <c r="AC397" s="9" t="s">
        <v>124</v>
      </c>
      <c r="AD397" s="15">
        <v>45016</v>
      </c>
      <c r="AE397" s="39" t="s">
        <v>125</v>
      </c>
      <c r="AF397" s="177">
        <v>6</v>
      </c>
      <c r="AG397" s="140">
        <v>0</v>
      </c>
      <c r="AH397" s="9">
        <v>0</v>
      </c>
      <c r="AI397" s="10" t="s">
        <v>126</v>
      </c>
      <c r="AJ397" s="10"/>
      <c r="AK397" s="29"/>
      <c r="AL397" s="12">
        <v>3.5863013698630137</v>
      </c>
      <c r="AM397" s="10">
        <v>0</v>
      </c>
      <c r="AN397" s="12">
        <f>FAR[[#This Row],[Opening RUL]]+FAR[[#This Row],[RUL Adjustment]]</f>
        <v>3.5863013698630137</v>
      </c>
      <c r="AO397" s="12">
        <f>FAR[[#This Row],[Opening RUL 30 June 2026]]-1</f>
        <v>2.5863013698630137</v>
      </c>
      <c r="AP397" s="12" t="s">
        <v>1050</v>
      </c>
      <c r="AQ397" s="139"/>
      <c r="AR397" s="10" t="s">
        <v>127</v>
      </c>
      <c r="AS397" s="13">
        <v>3206.2</v>
      </c>
      <c r="AT397" s="13"/>
      <c r="AU397" s="13"/>
      <c r="AV397" s="13"/>
      <c r="AW397" s="13"/>
      <c r="AX397" s="13">
        <v>3206.2</v>
      </c>
      <c r="AY397" s="13">
        <v>1916.399908675799</v>
      </c>
      <c r="AZ397" s="13">
        <v>0</v>
      </c>
      <c r="BA397" s="13"/>
      <c r="BB397" s="13"/>
      <c r="BC397" s="13">
        <v>-1289.8000913242008</v>
      </c>
      <c r="BD397" s="13"/>
      <c r="BE397" s="13" t="s">
        <v>114</v>
      </c>
      <c r="BF397" s="29"/>
      <c r="BG397" s="13"/>
      <c r="BH397" s="13">
        <f>-FAR[[#This Row],[Carrying value (opening balance)]]/FAR[[#This Row],[Opening RUL 30 June 2026]]</f>
        <v>-534.36666666666667</v>
      </c>
      <c r="BI397" s="13">
        <f>FAR[[#This Row],[Depreciation YTD]]/12</f>
        <v>-44.530555555555559</v>
      </c>
      <c r="BJ397" s="13"/>
      <c r="BK397" s="13" t="s">
        <v>116</v>
      </c>
      <c r="BL397" s="13">
        <v>0</v>
      </c>
      <c r="BM397" s="13">
        <f>FAR[[#This Row],[Accumulated depreciation (Opening balance)]]+FAR[[#This Row],[Depreciation YTD]]+FAR[[#This Row],[Derecognitions (acc dep) '[+']]]</f>
        <v>-1824.1667579908676</v>
      </c>
      <c r="BN397" s="13"/>
      <c r="BO397" s="13"/>
      <c r="BP397" s="13"/>
      <c r="BQ397" s="13"/>
      <c r="BR39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97" s="13">
        <f>FAR[[#This Row],[Cost Price (closing balance)]]+FAR[[#This Row],[Accumulated depreciation (Closing balance)]]+FAR[[#This Row],[Accumulated impairments (Closing balance)]]</f>
        <v>1382.0332420091322</v>
      </c>
      <c r="BT397" s="13">
        <f>FAR[[#This Row],[Accumulated depreciation (Opening balance)]]</f>
        <v>-1289.8000913242008</v>
      </c>
      <c r="BU397" s="13"/>
      <c r="BV397" s="13"/>
      <c r="BW397" s="10"/>
      <c r="BX397" s="9"/>
      <c r="BY397" s="10"/>
      <c r="BZ397" t="s">
        <v>967</v>
      </c>
      <c r="CA397"/>
      <c r="CB397" s="34"/>
      <c r="CC397" s="34"/>
      <c r="CD397" s="34"/>
      <c r="CE397" s="141">
        <f>FAR[[#This Row],[Additions capitalised (@actual cost)]]/FAR[[#This Row],[EUL]]</f>
        <v>0</v>
      </c>
    </row>
    <row r="398" spans="1:83">
      <c r="A398" s="35">
        <v>1605</v>
      </c>
      <c r="B398" s="9" t="s">
        <v>867</v>
      </c>
      <c r="C398" s="9" t="s">
        <v>54</v>
      </c>
      <c r="D398" s="10" t="s">
        <v>1</v>
      </c>
      <c r="E398" s="9" t="s">
        <v>115</v>
      </c>
      <c r="F398" s="36" t="s">
        <v>99</v>
      </c>
      <c r="G398" s="9" t="s">
        <v>100</v>
      </c>
      <c r="H398" s="3" t="s">
        <v>128</v>
      </c>
      <c r="I398" s="9" t="s">
        <v>100</v>
      </c>
      <c r="J398" s="36" t="s">
        <v>101</v>
      </c>
      <c r="K398" s="10" t="s">
        <v>559</v>
      </c>
      <c r="L398" s="10" t="s">
        <v>559</v>
      </c>
      <c r="M398" s="9" t="s">
        <v>100</v>
      </c>
      <c r="N398" s="10" t="s">
        <v>553</v>
      </c>
      <c r="O398" s="9" t="s">
        <v>100</v>
      </c>
      <c r="P398" s="10"/>
      <c r="Q398" s="10" t="s">
        <v>553</v>
      </c>
      <c r="R398" s="10" t="s">
        <v>119</v>
      </c>
      <c r="S398" s="10" t="s">
        <v>130</v>
      </c>
      <c r="T398" s="10" t="s">
        <v>120</v>
      </c>
      <c r="U398" s="10" t="s">
        <v>101</v>
      </c>
      <c r="V398" s="10" t="s">
        <v>121</v>
      </c>
      <c r="W398" s="10" t="s">
        <v>122</v>
      </c>
      <c r="X398" s="10" t="s">
        <v>123</v>
      </c>
      <c r="Y398" s="29">
        <v>1</v>
      </c>
      <c r="Z398" s="138" t="s">
        <v>598</v>
      </c>
      <c r="AA398" s="138">
        <v>44865</v>
      </c>
      <c r="AB398" s="9" t="s">
        <v>114</v>
      </c>
      <c r="AC398" s="9" t="s">
        <v>124</v>
      </c>
      <c r="AD398" s="15">
        <v>45016</v>
      </c>
      <c r="AE398" s="39" t="s">
        <v>125</v>
      </c>
      <c r="AF398" s="177">
        <v>6</v>
      </c>
      <c r="AG398" s="140">
        <v>0</v>
      </c>
      <c r="AH398" s="9">
        <v>0</v>
      </c>
      <c r="AI398" s="10" t="s">
        <v>126</v>
      </c>
      <c r="AJ398" s="10"/>
      <c r="AK398" s="29"/>
      <c r="AL398" s="12">
        <v>3.5863013698630137</v>
      </c>
      <c r="AM398" s="10">
        <v>0</v>
      </c>
      <c r="AN398" s="12">
        <f>FAR[[#This Row],[Opening RUL]]+FAR[[#This Row],[RUL Adjustment]]</f>
        <v>3.5863013698630137</v>
      </c>
      <c r="AO398" s="12">
        <f>FAR[[#This Row],[Opening RUL 30 June 2026]]-1</f>
        <v>2.5863013698630137</v>
      </c>
      <c r="AP398" s="12" t="s">
        <v>1050</v>
      </c>
      <c r="AQ398" s="139"/>
      <c r="AR398" s="10" t="s">
        <v>127</v>
      </c>
      <c r="AS398" s="13">
        <v>3206.2</v>
      </c>
      <c r="AT398" s="13"/>
      <c r="AU398" s="13"/>
      <c r="AV398" s="13"/>
      <c r="AW398" s="13"/>
      <c r="AX398" s="13">
        <v>3206.2</v>
      </c>
      <c r="AY398" s="13">
        <v>1916.399908675799</v>
      </c>
      <c r="AZ398" s="13">
        <v>0</v>
      </c>
      <c r="BA398" s="13"/>
      <c r="BB398" s="13"/>
      <c r="BC398" s="13">
        <v>-1289.8000913242008</v>
      </c>
      <c r="BD398" s="13"/>
      <c r="BE398" s="13" t="s">
        <v>114</v>
      </c>
      <c r="BF398" s="29"/>
      <c r="BG398" s="13"/>
      <c r="BH398" s="13">
        <f>-FAR[[#This Row],[Carrying value (opening balance)]]/FAR[[#This Row],[Opening RUL 30 June 2026]]</f>
        <v>-534.36666666666667</v>
      </c>
      <c r="BI398" s="13">
        <f>FAR[[#This Row],[Depreciation YTD]]/12</f>
        <v>-44.530555555555559</v>
      </c>
      <c r="BJ398" s="13"/>
      <c r="BK398" s="13" t="s">
        <v>116</v>
      </c>
      <c r="BL398" s="13">
        <v>0</v>
      </c>
      <c r="BM398" s="13">
        <f>FAR[[#This Row],[Accumulated depreciation (Opening balance)]]+FAR[[#This Row],[Depreciation YTD]]+FAR[[#This Row],[Derecognitions (acc dep) '[+']]]</f>
        <v>-1824.1667579908676</v>
      </c>
      <c r="BN398" s="13"/>
      <c r="BO398" s="13"/>
      <c r="BP398" s="13"/>
      <c r="BQ398" s="13"/>
      <c r="BR39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98" s="13">
        <f>FAR[[#This Row],[Cost Price (closing balance)]]+FAR[[#This Row],[Accumulated depreciation (Closing balance)]]+FAR[[#This Row],[Accumulated impairments (Closing balance)]]</f>
        <v>1382.0332420091322</v>
      </c>
      <c r="BT398" s="13">
        <f>FAR[[#This Row],[Accumulated depreciation (Opening balance)]]</f>
        <v>-1289.8000913242008</v>
      </c>
      <c r="BU398" s="13"/>
      <c r="BV398" s="13"/>
      <c r="BW398" s="10"/>
      <c r="BX398" s="9"/>
      <c r="BY398" s="10"/>
      <c r="BZ398" t="s">
        <v>1037</v>
      </c>
      <c r="CA398"/>
      <c r="CB398" s="34"/>
      <c r="CC398" s="34"/>
      <c r="CD398" s="34"/>
      <c r="CE398" s="141">
        <f>FAR[[#This Row],[Additions capitalised (@actual cost)]]/FAR[[#This Row],[EUL]]</f>
        <v>0</v>
      </c>
    </row>
    <row r="399" spans="1:83">
      <c r="A399" s="35">
        <v>1606</v>
      </c>
      <c r="B399" s="9" t="s">
        <v>886</v>
      </c>
      <c r="C399" s="9" t="s">
        <v>54</v>
      </c>
      <c r="D399" s="10" t="s">
        <v>1</v>
      </c>
      <c r="E399" s="9" t="s">
        <v>115</v>
      </c>
      <c r="F399" s="36" t="s">
        <v>99</v>
      </c>
      <c r="G399" s="9" t="s">
        <v>100</v>
      </c>
      <c r="H399" s="3" t="s">
        <v>128</v>
      </c>
      <c r="I399" s="9" t="s">
        <v>100</v>
      </c>
      <c r="J399" s="36" t="s">
        <v>101</v>
      </c>
      <c r="K399" s="10" t="s">
        <v>559</v>
      </c>
      <c r="L399" s="10" t="s">
        <v>559</v>
      </c>
      <c r="M399" s="9" t="s">
        <v>100</v>
      </c>
      <c r="N399" s="10" t="s">
        <v>553</v>
      </c>
      <c r="O399" s="9" t="s">
        <v>100</v>
      </c>
      <c r="P399" s="10"/>
      <c r="Q399" s="10" t="s">
        <v>553</v>
      </c>
      <c r="R399" s="10" t="s">
        <v>119</v>
      </c>
      <c r="S399" s="10" t="s">
        <v>130</v>
      </c>
      <c r="T399" s="10" t="s">
        <v>120</v>
      </c>
      <c r="U399" s="10" t="s">
        <v>101</v>
      </c>
      <c r="V399" s="10" t="s">
        <v>121</v>
      </c>
      <c r="W399" s="10" t="s">
        <v>122</v>
      </c>
      <c r="X399" s="10" t="s">
        <v>123</v>
      </c>
      <c r="Y399" s="29">
        <v>1</v>
      </c>
      <c r="Z399" s="138" t="s">
        <v>598</v>
      </c>
      <c r="AA399" s="138">
        <v>44865</v>
      </c>
      <c r="AB399" s="9" t="s">
        <v>114</v>
      </c>
      <c r="AC399" s="9" t="s">
        <v>124</v>
      </c>
      <c r="AD399" s="15">
        <v>45016</v>
      </c>
      <c r="AE399" s="39" t="s">
        <v>125</v>
      </c>
      <c r="AF399" s="177">
        <v>6</v>
      </c>
      <c r="AG399" s="140">
        <v>0</v>
      </c>
      <c r="AH399" s="9">
        <v>0</v>
      </c>
      <c r="AI399" s="10" t="s">
        <v>126</v>
      </c>
      <c r="AJ399" s="10"/>
      <c r="AK399" s="29"/>
      <c r="AL399" s="12">
        <v>3.5863013698630137</v>
      </c>
      <c r="AM399" s="10">
        <v>0</v>
      </c>
      <c r="AN399" s="12">
        <f>FAR[[#This Row],[Opening RUL]]+FAR[[#This Row],[RUL Adjustment]]</f>
        <v>3.5863013698630137</v>
      </c>
      <c r="AO399" s="12">
        <f>FAR[[#This Row],[Opening RUL 30 June 2026]]-1</f>
        <v>2.5863013698630137</v>
      </c>
      <c r="AP399" s="12" t="s">
        <v>1050</v>
      </c>
      <c r="AQ399" s="139"/>
      <c r="AR399" s="10" t="s">
        <v>127</v>
      </c>
      <c r="AS399" s="13">
        <v>3206.2</v>
      </c>
      <c r="AT399" s="13"/>
      <c r="AU399" s="13"/>
      <c r="AV399" s="13"/>
      <c r="AW399" s="13"/>
      <c r="AX399" s="13">
        <v>3206.2</v>
      </c>
      <c r="AY399" s="13">
        <v>1916.399908675799</v>
      </c>
      <c r="AZ399" s="13">
        <v>0</v>
      </c>
      <c r="BA399" s="13"/>
      <c r="BB399" s="13"/>
      <c r="BC399" s="13">
        <v>-1289.8000913242008</v>
      </c>
      <c r="BD399" s="13"/>
      <c r="BE399" s="13" t="s">
        <v>114</v>
      </c>
      <c r="BF399" s="29"/>
      <c r="BG399" s="13"/>
      <c r="BH399" s="13">
        <f>-FAR[[#This Row],[Carrying value (opening balance)]]/FAR[[#This Row],[Opening RUL 30 June 2026]]</f>
        <v>-534.36666666666667</v>
      </c>
      <c r="BI399" s="13">
        <f>FAR[[#This Row],[Depreciation YTD]]/12</f>
        <v>-44.530555555555559</v>
      </c>
      <c r="BJ399" s="13"/>
      <c r="BK399" s="13" t="s">
        <v>116</v>
      </c>
      <c r="BL399" s="13">
        <v>0</v>
      </c>
      <c r="BM399" s="13">
        <f>FAR[[#This Row],[Accumulated depreciation (Opening balance)]]+FAR[[#This Row],[Depreciation YTD]]+FAR[[#This Row],[Derecognitions (acc dep) '[+']]]</f>
        <v>-1824.1667579908676</v>
      </c>
      <c r="BN399" s="13"/>
      <c r="BO399" s="13"/>
      <c r="BP399" s="13"/>
      <c r="BQ399" s="13"/>
      <c r="BR39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399" s="13">
        <f>FAR[[#This Row],[Cost Price (closing balance)]]+FAR[[#This Row],[Accumulated depreciation (Closing balance)]]+FAR[[#This Row],[Accumulated impairments (Closing balance)]]</f>
        <v>1382.0332420091322</v>
      </c>
      <c r="BT399" s="13">
        <f>FAR[[#This Row],[Accumulated depreciation (Opening balance)]]</f>
        <v>-1289.8000913242008</v>
      </c>
      <c r="BU399" s="13"/>
      <c r="BV399" s="13"/>
      <c r="BW399" s="10"/>
      <c r="BX399" s="9"/>
      <c r="BY399" s="10"/>
      <c r="BZ399" t="s">
        <v>1038</v>
      </c>
      <c r="CA399"/>
      <c r="CB399" s="34"/>
      <c r="CC399" s="34"/>
      <c r="CD399" s="34"/>
      <c r="CE399" s="141">
        <f>FAR[[#This Row],[Additions capitalised (@actual cost)]]/FAR[[#This Row],[EUL]]</f>
        <v>0</v>
      </c>
    </row>
    <row r="400" spans="1:83">
      <c r="A400" s="35">
        <v>1607</v>
      </c>
      <c r="B400" s="9" t="s">
        <v>867</v>
      </c>
      <c r="C400" s="9" t="s">
        <v>54</v>
      </c>
      <c r="D400" s="10" t="s">
        <v>1</v>
      </c>
      <c r="E400" s="9" t="s">
        <v>115</v>
      </c>
      <c r="F400" s="36" t="s">
        <v>99</v>
      </c>
      <c r="G400" s="9" t="s">
        <v>100</v>
      </c>
      <c r="H400" s="3" t="s">
        <v>128</v>
      </c>
      <c r="I400" s="9" t="s">
        <v>100</v>
      </c>
      <c r="J400" s="36" t="s">
        <v>101</v>
      </c>
      <c r="K400" s="10" t="s">
        <v>559</v>
      </c>
      <c r="L400" s="10" t="s">
        <v>559</v>
      </c>
      <c r="M400" s="9" t="s">
        <v>100</v>
      </c>
      <c r="N400" s="10" t="s">
        <v>553</v>
      </c>
      <c r="O400" s="9" t="s">
        <v>100</v>
      </c>
      <c r="P400" s="10"/>
      <c r="Q400" s="10" t="s">
        <v>553</v>
      </c>
      <c r="R400" s="10" t="s">
        <v>119</v>
      </c>
      <c r="S400" s="10" t="s">
        <v>130</v>
      </c>
      <c r="T400" s="10" t="s">
        <v>120</v>
      </c>
      <c r="U400" s="10" t="s">
        <v>101</v>
      </c>
      <c r="V400" s="10" t="s">
        <v>121</v>
      </c>
      <c r="W400" s="10" t="s">
        <v>122</v>
      </c>
      <c r="X400" s="10" t="s">
        <v>123</v>
      </c>
      <c r="Y400" s="29">
        <v>1</v>
      </c>
      <c r="Z400" s="138" t="s">
        <v>598</v>
      </c>
      <c r="AA400" s="138">
        <v>44865</v>
      </c>
      <c r="AB400" s="9" t="s">
        <v>114</v>
      </c>
      <c r="AC400" s="9" t="s">
        <v>124</v>
      </c>
      <c r="AD400" s="15">
        <v>45016</v>
      </c>
      <c r="AE400" s="39" t="s">
        <v>125</v>
      </c>
      <c r="AF400" s="177">
        <v>6</v>
      </c>
      <c r="AG400" s="140">
        <v>0</v>
      </c>
      <c r="AH400" s="9">
        <v>0</v>
      </c>
      <c r="AI400" s="10" t="s">
        <v>126</v>
      </c>
      <c r="AJ400" s="10"/>
      <c r="AK400" s="29"/>
      <c r="AL400" s="12">
        <v>3.5863013698630137</v>
      </c>
      <c r="AM400" s="10">
        <v>0</v>
      </c>
      <c r="AN400" s="12">
        <f>FAR[[#This Row],[Opening RUL]]+FAR[[#This Row],[RUL Adjustment]]</f>
        <v>3.5863013698630137</v>
      </c>
      <c r="AO400" s="12">
        <f>FAR[[#This Row],[Opening RUL 30 June 2026]]-1</f>
        <v>2.5863013698630137</v>
      </c>
      <c r="AP400" s="12" t="s">
        <v>1050</v>
      </c>
      <c r="AQ400" s="139"/>
      <c r="AR400" s="10" t="s">
        <v>127</v>
      </c>
      <c r="AS400" s="13">
        <v>3206.2</v>
      </c>
      <c r="AT400" s="13"/>
      <c r="AU400" s="13"/>
      <c r="AV400" s="13"/>
      <c r="AW400" s="13"/>
      <c r="AX400" s="13">
        <v>3206.2</v>
      </c>
      <c r="AY400" s="13">
        <v>1916.399908675799</v>
      </c>
      <c r="AZ400" s="13">
        <v>0</v>
      </c>
      <c r="BA400" s="13"/>
      <c r="BB400" s="13"/>
      <c r="BC400" s="13">
        <v>-1289.8000913242008</v>
      </c>
      <c r="BD400" s="13"/>
      <c r="BE400" s="13" t="s">
        <v>114</v>
      </c>
      <c r="BF400" s="29"/>
      <c r="BG400" s="13"/>
      <c r="BH400" s="13">
        <f>-FAR[[#This Row],[Carrying value (opening balance)]]/FAR[[#This Row],[Opening RUL 30 June 2026]]</f>
        <v>-534.36666666666667</v>
      </c>
      <c r="BI400" s="13">
        <f>FAR[[#This Row],[Depreciation YTD]]/12</f>
        <v>-44.530555555555559</v>
      </c>
      <c r="BJ400" s="13"/>
      <c r="BK400" s="13" t="s">
        <v>116</v>
      </c>
      <c r="BL400" s="13">
        <v>0</v>
      </c>
      <c r="BM400" s="13">
        <f>FAR[[#This Row],[Accumulated depreciation (Opening balance)]]+FAR[[#This Row],[Depreciation YTD]]+FAR[[#This Row],[Derecognitions (acc dep) '[+']]]</f>
        <v>-1824.1667579908676</v>
      </c>
      <c r="BN400" s="13"/>
      <c r="BO400" s="13"/>
      <c r="BP400" s="13"/>
      <c r="BQ400" s="13"/>
      <c r="BR40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00" s="13">
        <f>FAR[[#This Row],[Cost Price (closing balance)]]+FAR[[#This Row],[Accumulated depreciation (Closing balance)]]+FAR[[#This Row],[Accumulated impairments (Closing balance)]]</f>
        <v>1382.0332420091322</v>
      </c>
      <c r="BT400" s="13">
        <f>FAR[[#This Row],[Accumulated depreciation (Opening balance)]]</f>
        <v>-1289.8000913242008</v>
      </c>
      <c r="BU400" s="13"/>
      <c r="BV400" s="13"/>
      <c r="BW400" s="10"/>
      <c r="BX400" s="9"/>
      <c r="BY400" s="10"/>
      <c r="BZ400" t="s">
        <v>1026</v>
      </c>
      <c r="CA400"/>
      <c r="CB400" s="34"/>
      <c r="CC400" s="34"/>
      <c r="CD400" s="34"/>
      <c r="CE400" s="141">
        <f>FAR[[#This Row],[Additions capitalised (@actual cost)]]/FAR[[#This Row],[EUL]]</f>
        <v>0</v>
      </c>
    </row>
    <row r="401" spans="1:83">
      <c r="A401" s="35">
        <v>1608</v>
      </c>
      <c r="B401" s="9" t="s">
        <v>875</v>
      </c>
      <c r="C401" s="9" t="s">
        <v>54</v>
      </c>
      <c r="D401" s="10" t="s">
        <v>1</v>
      </c>
      <c r="E401" s="9" t="s">
        <v>115</v>
      </c>
      <c r="F401" s="36" t="s">
        <v>99</v>
      </c>
      <c r="G401" s="9" t="s">
        <v>100</v>
      </c>
      <c r="H401" s="3" t="s">
        <v>128</v>
      </c>
      <c r="I401" s="9" t="s">
        <v>100</v>
      </c>
      <c r="J401" s="36" t="s">
        <v>101</v>
      </c>
      <c r="K401" s="10" t="s">
        <v>559</v>
      </c>
      <c r="L401" s="10" t="s">
        <v>559</v>
      </c>
      <c r="M401" s="9" t="s">
        <v>100</v>
      </c>
      <c r="N401" s="10" t="s">
        <v>553</v>
      </c>
      <c r="O401" s="9" t="s">
        <v>100</v>
      </c>
      <c r="P401" s="10"/>
      <c r="Q401" s="10" t="s">
        <v>553</v>
      </c>
      <c r="R401" s="10" t="s">
        <v>119</v>
      </c>
      <c r="S401" s="10" t="s">
        <v>130</v>
      </c>
      <c r="T401" s="10" t="s">
        <v>120</v>
      </c>
      <c r="U401" s="10" t="s">
        <v>101</v>
      </c>
      <c r="V401" s="10" t="s">
        <v>121</v>
      </c>
      <c r="W401" s="10" t="s">
        <v>122</v>
      </c>
      <c r="X401" s="10" t="s">
        <v>123</v>
      </c>
      <c r="Y401" s="29">
        <v>1</v>
      </c>
      <c r="Z401" s="138" t="s">
        <v>598</v>
      </c>
      <c r="AA401" s="138">
        <v>44865</v>
      </c>
      <c r="AB401" s="9" t="s">
        <v>114</v>
      </c>
      <c r="AC401" s="9" t="s">
        <v>124</v>
      </c>
      <c r="AD401" s="15">
        <v>45016</v>
      </c>
      <c r="AE401" s="39" t="s">
        <v>125</v>
      </c>
      <c r="AF401" s="177">
        <v>6</v>
      </c>
      <c r="AG401" s="140">
        <v>0</v>
      </c>
      <c r="AH401" s="9">
        <v>0</v>
      </c>
      <c r="AI401" s="10" t="s">
        <v>126</v>
      </c>
      <c r="AJ401" s="10"/>
      <c r="AK401" s="29"/>
      <c r="AL401" s="12">
        <v>3.5863013698630137</v>
      </c>
      <c r="AM401" s="10">
        <v>0</v>
      </c>
      <c r="AN401" s="12">
        <f>FAR[[#This Row],[Opening RUL]]+FAR[[#This Row],[RUL Adjustment]]</f>
        <v>3.5863013698630137</v>
      </c>
      <c r="AO401" s="12">
        <f>FAR[[#This Row],[Opening RUL 30 June 2026]]-1</f>
        <v>2.5863013698630137</v>
      </c>
      <c r="AP401" s="12" t="s">
        <v>1050</v>
      </c>
      <c r="AQ401" s="139"/>
      <c r="AR401" s="10" t="s">
        <v>127</v>
      </c>
      <c r="AS401" s="13">
        <v>3206.2</v>
      </c>
      <c r="AT401" s="13"/>
      <c r="AU401" s="13"/>
      <c r="AV401" s="13"/>
      <c r="AW401" s="13"/>
      <c r="AX401" s="13">
        <v>3206.2</v>
      </c>
      <c r="AY401" s="13">
        <v>1916.399908675799</v>
      </c>
      <c r="AZ401" s="13">
        <v>0</v>
      </c>
      <c r="BA401" s="13"/>
      <c r="BB401" s="13"/>
      <c r="BC401" s="13">
        <v>-1289.8000913242008</v>
      </c>
      <c r="BD401" s="13"/>
      <c r="BE401" s="13" t="s">
        <v>114</v>
      </c>
      <c r="BF401" s="29"/>
      <c r="BG401" s="13"/>
      <c r="BH401" s="13">
        <f>-FAR[[#This Row],[Carrying value (opening balance)]]/FAR[[#This Row],[Opening RUL 30 June 2026]]</f>
        <v>-534.36666666666667</v>
      </c>
      <c r="BI401" s="13">
        <f>FAR[[#This Row],[Depreciation YTD]]/12</f>
        <v>-44.530555555555559</v>
      </c>
      <c r="BJ401" s="13"/>
      <c r="BK401" s="13" t="s">
        <v>116</v>
      </c>
      <c r="BL401" s="13">
        <v>0</v>
      </c>
      <c r="BM401" s="13">
        <f>FAR[[#This Row],[Accumulated depreciation (Opening balance)]]+FAR[[#This Row],[Depreciation YTD]]+FAR[[#This Row],[Derecognitions (acc dep) '[+']]]</f>
        <v>-1824.1667579908676</v>
      </c>
      <c r="BN401" s="13"/>
      <c r="BO401" s="13"/>
      <c r="BP401" s="13"/>
      <c r="BQ401" s="13"/>
      <c r="BR40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01" s="13">
        <f>FAR[[#This Row],[Cost Price (closing balance)]]+FAR[[#This Row],[Accumulated depreciation (Closing balance)]]+FAR[[#This Row],[Accumulated impairments (Closing balance)]]</f>
        <v>1382.0332420091322</v>
      </c>
      <c r="BT401" s="13">
        <f>FAR[[#This Row],[Accumulated depreciation (Opening balance)]]</f>
        <v>-1289.8000913242008</v>
      </c>
      <c r="BU401" s="13"/>
      <c r="BV401" s="13"/>
      <c r="BW401" s="10"/>
      <c r="BX401" s="9"/>
      <c r="BY401" s="10"/>
      <c r="BZ401" t="s">
        <v>965</v>
      </c>
      <c r="CA401"/>
      <c r="CB401" s="34"/>
      <c r="CC401" s="34"/>
      <c r="CD401" s="34"/>
      <c r="CE401" s="141">
        <f>FAR[[#This Row],[Additions capitalised (@actual cost)]]/FAR[[#This Row],[EUL]]</f>
        <v>0</v>
      </c>
    </row>
    <row r="402" spans="1:83">
      <c r="A402" s="35">
        <v>1609</v>
      </c>
      <c r="B402" s="9" t="s">
        <v>867</v>
      </c>
      <c r="C402" s="9" t="s">
        <v>54</v>
      </c>
      <c r="D402" s="10" t="s">
        <v>1</v>
      </c>
      <c r="E402" s="9" t="s">
        <v>115</v>
      </c>
      <c r="F402" s="36" t="s">
        <v>99</v>
      </c>
      <c r="G402" s="9" t="s">
        <v>100</v>
      </c>
      <c r="H402" s="3" t="s">
        <v>128</v>
      </c>
      <c r="I402" s="9" t="s">
        <v>100</v>
      </c>
      <c r="J402" s="36" t="s">
        <v>101</v>
      </c>
      <c r="K402" s="10" t="s">
        <v>559</v>
      </c>
      <c r="L402" s="10" t="s">
        <v>559</v>
      </c>
      <c r="M402" s="9" t="s">
        <v>100</v>
      </c>
      <c r="N402" s="10" t="s">
        <v>553</v>
      </c>
      <c r="O402" s="9" t="s">
        <v>100</v>
      </c>
      <c r="P402" s="10"/>
      <c r="Q402" s="10" t="s">
        <v>553</v>
      </c>
      <c r="R402" s="10" t="s">
        <v>119</v>
      </c>
      <c r="S402" s="10" t="s">
        <v>130</v>
      </c>
      <c r="T402" s="10" t="s">
        <v>120</v>
      </c>
      <c r="U402" s="10" t="s">
        <v>101</v>
      </c>
      <c r="V402" s="10" t="s">
        <v>121</v>
      </c>
      <c r="W402" s="10" t="s">
        <v>122</v>
      </c>
      <c r="X402" s="10" t="s">
        <v>123</v>
      </c>
      <c r="Y402" s="29">
        <v>1</v>
      </c>
      <c r="Z402" s="138" t="s">
        <v>598</v>
      </c>
      <c r="AA402" s="138">
        <v>44865</v>
      </c>
      <c r="AB402" s="9" t="s">
        <v>114</v>
      </c>
      <c r="AC402" s="9" t="s">
        <v>124</v>
      </c>
      <c r="AD402" s="15">
        <v>45016</v>
      </c>
      <c r="AE402" s="39" t="s">
        <v>125</v>
      </c>
      <c r="AF402" s="177">
        <v>6</v>
      </c>
      <c r="AG402" s="140">
        <v>0</v>
      </c>
      <c r="AH402" s="9">
        <v>0</v>
      </c>
      <c r="AI402" s="10" t="s">
        <v>126</v>
      </c>
      <c r="AJ402" s="10"/>
      <c r="AK402" s="29"/>
      <c r="AL402" s="12">
        <v>3.5863013698630137</v>
      </c>
      <c r="AM402" s="10">
        <v>0</v>
      </c>
      <c r="AN402" s="12">
        <f>FAR[[#This Row],[Opening RUL]]+FAR[[#This Row],[RUL Adjustment]]</f>
        <v>3.5863013698630137</v>
      </c>
      <c r="AO402" s="12">
        <f>FAR[[#This Row],[Opening RUL 30 June 2026]]-1</f>
        <v>2.5863013698630137</v>
      </c>
      <c r="AP402" s="12" t="s">
        <v>1050</v>
      </c>
      <c r="AQ402" s="139"/>
      <c r="AR402" s="10" t="s">
        <v>127</v>
      </c>
      <c r="AS402" s="13">
        <v>3206.2</v>
      </c>
      <c r="AT402" s="13"/>
      <c r="AU402" s="13"/>
      <c r="AV402" s="13"/>
      <c r="AW402" s="13"/>
      <c r="AX402" s="13">
        <v>3206.2</v>
      </c>
      <c r="AY402" s="13">
        <v>1916.399908675799</v>
      </c>
      <c r="AZ402" s="13">
        <v>0</v>
      </c>
      <c r="BA402" s="13"/>
      <c r="BB402" s="13"/>
      <c r="BC402" s="13">
        <v>-1289.8000913242008</v>
      </c>
      <c r="BD402" s="13"/>
      <c r="BE402" s="13" t="s">
        <v>114</v>
      </c>
      <c r="BF402" s="29"/>
      <c r="BG402" s="13"/>
      <c r="BH402" s="13">
        <f>-FAR[[#This Row],[Carrying value (opening balance)]]/FAR[[#This Row],[Opening RUL 30 June 2026]]</f>
        <v>-534.36666666666667</v>
      </c>
      <c r="BI402" s="13">
        <f>FAR[[#This Row],[Depreciation YTD]]/12</f>
        <v>-44.530555555555559</v>
      </c>
      <c r="BJ402" s="13"/>
      <c r="BK402" s="13" t="s">
        <v>116</v>
      </c>
      <c r="BL402" s="13">
        <v>0</v>
      </c>
      <c r="BM402" s="13">
        <f>FAR[[#This Row],[Accumulated depreciation (Opening balance)]]+FAR[[#This Row],[Depreciation YTD]]+FAR[[#This Row],[Derecognitions (acc dep) '[+']]]</f>
        <v>-1824.1667579908676</v>
      </c>
      <c r="BN402" s="13"/>
      <c r="BO402" s="13"/>
      <c r="BP402" s="13"/>
      <c r="BQ402" s="13"/>
      <c r="BR40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02" s="13">
        <f>FAR[[#This Row],[Cost Price (closing balance)]]+FAR[[#This Row],[Accumulated depreciation (Closing balance)]]+FAR[[#This Row],[Accumulated impairments (Closing balance)]]</f>
        <v>1382.0332420091322</v>
      </c>
      <c r="BT402" s="13">
        <f>FAR[[#This Row],[Accumulated depreciation (Opening balance)]]</f>
        <v>-1289.8000913242008</v>
      </c>
      <c r="BU402" s="13"/>
      <c r="BV402" s="13"/>
      <c r="BW402" s="10"/>
      <c r="BX402" s="9"/>
      <c r="BY402" s="10"/>
      <c r="BZ402" t="s">
        <v>1037</v>
      </c>
      <c r="CA402"/>
      <c r="CB402" s="34"/>
      <c r="CC402" s="34"/>
      <c r="CD402" s="34"/>
      <c r="CE402" s="141">
        <f>FAR[[#This Row],[Additions capitalised (@actual cost)]]/FAR[[#This Row],[EUL]]</f>
        <v>0</v>
      </c>
    </row>
    <row r="403" spans="1:83">
      <c r="A403" s="35">
        <v>1610</v>
      </c>
      <c r="B403" s="9" t="s">
        <v>868</v>
      </c>
      <c r="C403" s="9" t="s">
        <v>54</v>
      </c>
      <c r="D403" s="10" t="s">
        <v>1</v>
      </c>
      <c r="E403" s="9" t="s">
        <v>115</v>
      </c>
      <c r="F403" s="36" t="s">
        <v>99</v>
      </c>
      <c r="G403" s="9" t="s">
        <v>100</v>
      </c>
      <c r="H403" s="3" t="s">
        <v>128</v>
      </c>
      <c r="I403" s="9" t="s">
        <v>100</v>
      </c>
      <c r="J403" s="36" t="s">
        <v>101</v>
      </c>
      <c r="K403" s="10" t="s">
        <v>559</v>
      </c>
      <c r="L403" s="10" t="s">
        <v>559</v>
      </c>
      <c r="M403" s="9" t="s">
        <v>100</v>
      </c>
      <c r="N403" s="10" t="s">
        <v>553</v>
      </c>
      <c r="O403" s="9" t="s">
        <v>100</v>
      </c>
      <c r="P403" s="10"/>
      <c r="Q403" s="10" t="s">
        <v>553</v>
      </c>
      <c r="R403" s="10" t="s">
        <v>119</v>
      </c>
      <c r="S403" s="10" t="s">
        <v>130</v>
      </c>
      <c r="T403" s="10" t="s">
        <v>120</v>
      </c>
      <c r="U403" s="10" t="s">
        <v>101</v>
      </c>
      <c r="V403" s="10" t="s">
        <v>121</v>
      </c>
      <c r="W403" s="10" t="s">
        <v>122</v>
      </c>
      <c r="X403" s="10" t="s">
        <v>123</v>
      </c>
      <c r="Y403" s="29">
        <v>1</v>
      </c>
      <c r="Z403" s="138" t="s">
        <v>598</v>
      </c>
      <c r="AA403" s="138">
        <v>44865</v>
      </c>
      <c r="AB403" s="9" t="s">
        <v>114</v>
      </c>
      <c r="AC403" s="9" t="s">
        <v>124</v>
      </c>
      <c r="AD403" s="15">
        <v>45016</v>
      </c>
      <c r="AE403" s="39" t="s">
        <v>125</v>
      </c>
      <c r="AF403" s="177">
        <v>6</v>
      </c>
      <c r="AG403" s="140">
        <v>0</v>
      </c>
      <c r="AH403" s="9">
        <v>0</v>
      </c>
      <c r="AI403" s="10" t="s">
        <v>126</v>
      </c>
      <c r="AJ403" s="10"/>
      <c r="AK403" s="29"/>
      <c r="AL403" s="12">
        <v>3.5863013698630137</v>
      </c>
      <c r="AM403" s="10">
        <v>0</v>
      </c>
      <c r="AN403" s="12">
        <f>FAR[[#This Row],[Opening RUL]]+FAR[[#This Row],[RUL Adjustment]]</f>
        <v>3.5863013698630137</v>
      </c>
      <c r="AO403" s="12">
        <f>FAR[[#This Row],[Opening RUL 30 June 2026]]-1</f>
        <v>2.5863013698630137</v>
      </c>
      <c r="AP403" s="12" t="s">
        <v>1050</v>
      </c>
      <c r="AQ403" s="139"/>
      <c r="AR403" s="10" t="s">
        <v>127</v>
      </c>
      <c r="AS403" s="13">
        <v>3206.2</v>
      </c>
      <c r="AT403" s="13"/>
      <c r="AU403" s="13"/>
      <c r="AV403" s="13"/>
      <c r="AW403" s="13"/>
      <c r="AX403" s="13">
        <v>3206.2</v>
      </c>
      <c r="AY403" s="13">
        <v>1916.399908675799</v>
      </c>
      <c r="AZ403" s="13">
        <v>0</v>
      </c>
      <c r="BA403" s="13"/>
      <c r="BB403" s="13"/>
      <c r="BC403" s="13">
        <v>-1289.8000913242008</v>
      </c>
      <c r="BD403" s="13"/>
      <c r="BE403" s="13" t="s">
        <v>114</v>
      </c>
      <c r="BF403" s="29"/>
      <c r="BG403" s="13"/>
      <c r="BH403" s="13">
        <f>-FAR[[#This Row],[Carrying value (opening balance)]]/FAR[[#This Row],[Opening RUL 30 June 2026]]</f>
        <v>-534.36666666666667</v>
      </c>
      <c r="BI403" s="13">
        <f>FAR[[#This Row],[Depreciation YTD]]/12</f>
        <v>-44.530555555555559</v>
      </c>
      <c r="BJ403" s="13"/>
      <c r="BK403" s="13" t="s">
        <v>116</v>
      </c>
      <c r="BL403" s="13">
        <v>0</v>
      </c>
      <c r="BM403" s="13">
        <f>FAR[[#This Row],[Accumulated depreciation (Opening balance)]]+FAR[[#This Row],[Depreciation YTD]]+FAR[[#This Row],[Derecognitions (acc dep) '[+']]]</f>
        <v>-1824.1667579908676</v>
      </c>
      <c r="BN403" s="13"/>
      <c r="BO403" s="13"/>
      <c r="BP403" s="13"/>
      <c r="BQ403" s="13"/>
      <c r="BR40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03" s="13">
        <f>FAR[[#This Row],[Cost Price (closing balance)]]+FAR[[#This Row],[Accumulated depreciation (Closing balance)]]+FAR[[#This Row],[Accumulated impairments (Closing balance)]]</f>
        <v>1382.0332420091322</v>
      </c>
      <c r="BT403" s="13">
        <f>FAR[[#This Row],[Accumulated depreciation (Opening balance)]]</f>
        <v>-1289.8000913242008</v>
      </c>
      <c r="BU403" s="13"/>
      <c r="BV403" s="13"/>
      <c r="BW403" s="10"/>
      <c r="BX403" s="9"/>
      <c r="BY403" s="10"/>
      <c r="BZ403" t="s">
        <v>1006</v>
      </c>
      <c r="CA403"/>
      <c r="CB403" s="34"/>
      <c r="CC403" s="34"/>
      <c r="CD403" s="34"/>
      <c r="CE403" s="141">
        <f>FAR[[#This Row],[Additions capitalised (@actual cost)]]/FAR[[#This Row],[EUL]]</f>
        <v>0</v>
      </c>
    </row>
    <row r="404" spans="1:83">
      <c r="A404" s="35">
        <v>1611</v>
      </c>
      <c r="B404" s="9" t="s">
        <v>867</v>
      </c>
      <c r="C404" s="9" t="s">
        <v>54</v>
      </c>
      <c r="D404" s="10" t="s">
        <v>1</v>
      </c>
      <c r="E404" s="9" t="s">
        <v>115</v>
      </c>
      <c r="F404" s="36" t="s">
        <v>99</v>
      </c>
      <c r="G404" s="9" t="s">
        <v>100</v>
      </c>
      <c r="H404" s="3" t="s">
        <v>128</v>
      </c>
      <c r="I404" s="9" t="s">
        <v>100</v>
      </c>
      <c r="J404" s="36" t="s">
        <v>101</v>
      </c>
      <c r="K404" s="10" t="s">
        <v>559</v>
      </c>
      <c r="L404" s="10" t="s">
        <v>559</v>
      </c>
      <c r="M404" s="9" t="s">
        <v>100</v>
      </c>
      <c r="N404" s="10" t="s">
        <v>553</v>
      </c>
      <c r="O404" s="9" t="s">
        <v>100</v>
      </c>
      <c r="P404" s="10"/>
      <c r="Q404" s="10" t="s">
        <v>553</v>
      </c>
      <c r="R404" s="10" t="s">
        <v>119</v>
      </c>
      <c r="S404" s="10" t="s">
        <v>130</v>
      </c>
      <c r="T404" s="10" t="s">
        <v>120</v>
      </c>
      <c r="U404" s="10" t="s">
        <v>101</v>
      </c>
      <c r="V404" s="10" t="s">
        <v>121</v>
      </c>
      <c r="W404" s="10" t="s">
        <v>122</v>
      </c>
      <c r="X404" s="10" t="s">
        <v>123</v>
      </c>
      <c r="Y404" s="29">
        <v>1</v>
      </c>
      <c r="Z404" s="138" t="s">
        <v>598</v>
      </c>
      <c r="AA404" s="138">
        <v>44865</v>
      </c>
      <c r="AB404" s="9" t="s">
        <v>114</v>
      </c>
      <c r="AC404" s="9" t="s">
        <v>124</v>
      </c>
      <c r="AD404" s="15">
        <v>45016</v>
      </c>
      <c r="AE404" s="39" t="s">
        <v>125</v>
      </c>
      <c r="AF404" s="177">
        <v>6</v>
      </c>
      <c r="AG404" s="140">
        <v>0</v>
      </c>
      <c r="AH404" s="9">
        <v>0</v>
      </c>
      <c r="AI404" s="10" t="s">
        <v>126</v>
      </c>
      <c r="AJ404" s="10"/>
      <c r="AK404" s="29"/>
      <c r="AL404" s="12">
        <v>3.5863013698630137</v>
      </c>
      <c r="AM404" s="10">
        <v>0</v>
      </c>
      <c r="AN404" s="12">
        <f>FAR[[#This Row],[Opening RUL]]+FAR[[#This Row],[RUL Adjustment]]</f>
        <v>3.5863013698630137</v>
      </c>
      <c r="AO404" s="12">
        <f>FAR[[#This Row],[Opening RUL 30 June 2026]]-1</f>
        <v>2.5863013698630137</v>
      </c>
      <c r="AP404" s="12" t="s">
        <v>1050</v>
      </c>
      <c r="AQ404" s="139"/>
      <c r="AR404" s="10" t="s">
        <v>127</v>
      </c>
      <c r="AS404" s="13">
        <v>3206.2</v>
      </c>
      <c r="AT404" s="13"/>
      <c r="AU404" s="13"/>
      <c r="AV404" s="13"/>
      <c r="AW404" s="13"/>
      <c r="AX404" s="13">
        <v>3206.2</v>
      </c>
      <c r="AY404" s="13">
        <v>1916.399908675799</v>
      </c>
      <c r="AZ404" s="13">
        <v>0</v>
      </c>
      <c r="BA404" s="13"/>
      <c r="BB404" s="13"/>
      <c r="BC404" s="13">
        <v>-1289.8000913242008</v>
      </c>
      <c r="BD404" s="13"/>
      <c r="BE404" s="13" t="s">
        <v>114</v>
      </c>
      <c r="BF404" s="29"/>
      <c r="BG404" s="13"/>
      <c r="BH404" s="13">
        <f>-FAR[[#This Row],[Carrying value (opening balance)]]/FAR[[#This Row],[Opening RUL 30 June 2026]]</f>
        <v>-534.36666666666667</v>
      </c>
      <c r="BI404" s="13">
        <f>FAR[[#This Row],[Depreciation YTD]]/12</f>
        <v>-44.530555555555559</v>
      </c>
      <c r="BJ404" s="13"/>
      <c r="BK404" s="13" t="s">
        <v>116</v>
      </c>
      <c r="BL404" s="13">
        <v>0</v>
      </c>
      <c r="BM404" s="13">
        <f>FAR[[#This Row],[Accumulated depreciation (Opening balance)]]+FAR[[#This Row],[Depreciation YTD]]+FAR[[#This Row],[Derecognitions (acc dep) '[+']]]</f>
        <v>-1824.1667579908676</v>
      </c>
      <c r="BN404" s="13"/>
      <c r="BO404" s="13"/>
      <c r="BP404" s="13"/>
      <c r="BQ404" s="13"/>
      <c r="BR40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04" s="13">
        <f>FAR[[#This Row],[Cost Price (closing balance)]]+FAR[[#This Row],[Accumulated depreciation (Closing balance)]]+FAR[[#This Row],[Accumulated impairments (Closing balance)]]</f>
        <v>1382.0332420091322</v>
      </c>
      <c r="BT404" s="13">
        <f>FAR[[#This Row],[Accumulated depreciation (Opening balance)]]</f>
        <v>-1289.8000913242008</v>
      </c>
      <c r="BU404" s="13"/>
      <c r="BV404" s="13"/>
      <c r="BW404" s="10"/>
      <c r="BX404" s="9"/>
      <c r="BY404" s="10"/>
      <c r="BZ404" t="s">
        <v>1005</v>
      </c>
      <c r="CA404"/>
      <c r="CB404" s="34"/>
      <c r="CC404" s="34"/>
      <c r="CD404" s="34"/>
      <c r="CE404" s="141">
        <f>FAR[[#This Row],[Additions capitalised (@actual cost)]]/FAR[[#This Row],[EUL]]</f>
        <v>0</v>
      </c>
    </row>
    <row r="405" spans="1:83">
      <c r="A405" s="35">
        <v>1612</v>
      </c>
      <c r="B405" s="9" t="s">
        <v>910</v>
      </c>
      <c r="C405" s="9" t="s">
        <v>54</v>
      </c>
      <c r="D405" s="10" t="s">
        <v>1</v>
      </c>
      <c r="E405" s="9" t="s">
        <v>115</v>
      </c>
      <c r="F405" s="36" t="s">
        <v>99</v>
      </c>
      <c r="G405" s="9" t="s">
        <v>100</v>
      </c>
      <c r="H405" s="3" t="s">
        <v>128</v>
      </c>
      <c r="I405" s="9" t="s">
        <v>100</v>
      </c>
      <c r="J405" s="36" t="s">
        <v>101</v>
      </c>
      <c r="K405" s="10" t="s">
        <v>559</v>
      </c>
      <c r="L405" s="10" t="s">
        <v>559</v>
      </c>
      <c r="M405" s="9" t="s">
        <v>100</v>
      </c>
      <c r="N405" s="10" t="s">
        <v>553</v>
      </c>
      <c r="O405" s="9" t="s">
        <v>100</v>
      </c>
      <c r="P405" s="10"/>
      <c r="Q405" s="10" t="s">
        <v>553</v>
      </c>
      <c r="R405" s="10" t="s">
        <v>119</v>
      </c>
      <c r="S405" s="10" t="s">
        <v>130</v>
      </c>
      <c r="T405" s="10" t="s">
        <v>120</v>
      </c>
      <c r="U405" s="10" t="s">
        <v>101</v>
      </c>
      <c r="V405" s="10" t="s">
        <v>121</v>
      </c>
      <c r="W405" s="10" t="s">
        <v>122</v>
      </c>
      <c r="X405" s="10" t="s">
        <v>123</v>
      </c>
      <c r="Y405" s="29">
        <v>1</v>
      </c>
      <c r="Z405" s="138" t="s">
        <v>598</v>
      </c>
      <c r="AA405" s="138">
        <v>44865</v>
      </c>
      <c r="AB405" s="9" t="s">
        <v>114</v>
      </c>
      <c r="AC405" s="9" t="s">
        <v>124</v>
      </c>
      <c r="AD405" s="15">
        <v>45016</v>
      </c>
      <c r="AE405" s="39" t="s">
        <v>125</v>
      </c>
      <c r="AF405" s="177">
        <v>6</v>
      </c>
      <c r="AG405" s="140">
        <v>0</v>
      </c>
      <c r="AH405" s="9">
        <v>0</v>
      </c>
      <c r="AI405" s="10" t="s">
        <v>126</v>
      </c>
      <c r="AJ405" s="10"/>
      <c r="AK405" s="29"/>
      <c r="AL405" s="12">
        <v>3.5863013698630137</v>
      </c>
      <c r="AM405" s="10">
        <v>0</v>
      </c>
      <c r="AN405" s="12">
        <f>FAR[[#This Row],[Opening RUL]]+FAR[[#This Row],[RUL Adjustment]]</f>
        <v>3.5863013698630137</v>
      </c>
      <c r="AO405" s="12">
        <f>FAR[[#This Row],[Opening RUL 30 June 2026]]-1</f>
        <v>2.5863013698630137</v>
      </c>
      <c r="AP405" s="12" t="s">
        <v>1050</v>
      </c>
      <c r="AQ405" s="139"/>
      <c r="AR405" s="10" t="s">
        <v>127</v>
      </c>
      <c r="AS405" s="13">
        <v>3206.2</v>
      </c>
      <c r="AT405" s="13"/>
      <c r="AU405" s="13"/>
      <c r="AV405" s="13"/>
      <c r="AW405" s="13"/>
      <c r="AX405" s="13">
        <v>3206.2</v>
      </c>
      <c r="AY405" s="13">
        <v>1916.399908675799</v>
      </c>
      <c r="AZ405" s="13">
        <v>0</v>
      </c>
      <c r="BA405" s="13"/>
      <c r="BB405" s="13"/>
      <c r="BC405" s="13">
        <v>-1289.8000913242008</v>
      </c>
      <c r="BD405" s="13"/>
      <c r="BE405" s="13" t="s">
        <v>114</v>
      </c>
      <c r="BF405" s="29"/>
      <c r="BG405" s="13"/>
      <c r="BH405" s="13">
        <f>-FAR[[#This Row],[Carrying value (opening balance)]]/FAR[[#This Row],[Opening RUL 30 June 2026]]</f>
        <v>-534.36666666666667</v>
      </c>
      <c r="BI405" s="13">
        <f>FAR[[#This Row],[Depreciation YTD]]/12</f>
        <v>-44.530555555555559</v>
      </c>
      <c r="BJ405" s="13"/>
      <c r="BK405" s="13" t="s">
        <v>116</v>
      </c>
      <c r="BL405" s="13">
        <v>0</v>
      </c>
      <c r="BM405" s="13">
        <f>FAR[[#This Row],[Accumulated depreciation (Opening balance)]]+FAR[[#This Row],[Depreciation YTD]]+FAR[[#This Row],[Derecognitions (acc dep) '[+']]]</f>
        <v>-1824.1667579908676</v>
      </c>
      <c r="BN405" s="13"/>
      <c r="BO405" s="13"/>
      <c r="BP405" s="13"/>
      <c r="BQ405" s="13"/>
      <c r="BR40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05" s="13">
        <f>FAR[[#This Row],[Cost Price (closing balance)]]+FAR[[#This Row],[Accumulated depreciation (Closing balance)]]+FAR[[#This Row],[Accumulated impairments (Closing balance)]]</f>
        <v>1382.0332420091322</v>
      </c>
      <c r="BT405" s="13">
        <f>FAR[[#This Row],[Accumulated depreciation (Opening balance)]]</f>
        <v>-1289.8000913242008</v>
      </c>
      <c r="BU405" s="13"/>
      <c r="BV405" s="13"/>
      <c r="BW405" s="10"/>
      <c r="BX405" s="9"/>
      <c r="BY405" s="10"/>
      <c r="BZ405" t="s">
        <v>953</v>
      </c>
      <c r="CA405"/>
      <c r="CB405" s="34"/>
      <c r="CC405" s="34"/>
      <c r="CD405" s="34"/>
      <c r="CE405" s="141">
        <f>FAR[[#This Row],[Additions capitalised (@actual cost)]]/FAR[[#This Row],[EUL]]</f>
        <v>0</v>
      </c>
    </row>
    <row r="406" spans="1:83">
      <c r="A406" s="35">
        <v>1613</v>
      </c>
      <c r="B406" s="9" t="s">
        <v>868</v>
      </c>
      <c r="C406" s="9" t="s">
        <v>54</v>
      </c>
      <c r="D406" s="10" t="s">
        <v>1</v>
      </c>
      <c r="E406" s="9" t="s">
        <v>115</v>
      </c>
      <c r="F406" s="36" t="s">
        <v>99</v>
      </c>
      <c r="G406" s="9" t="s">
        <v>100</v>
      </c>
      <c r="H406" s="3" t="s">
        <v>128</v>
      </c>
      <c r="I406" s="9" t="s">
        <v>100</v>
      </c>
      <c r="J406" s="36" t="s">
        <v>101</v>
      </c>
      <c r="K406" s="10" t="s">
        <v>559</v>
      </c>
      <c r="L406" s="10" t="s">
        <v>559</v>
      </c>
      <c r="M406" s="9" t="s">
        <v>100</v>
      </c>
      <c r="N406" s="10" t="s">
        <v>553</v>
      </c>
      <c r="O406" s="9" t="s">
        <v>100</v>
      </c>
      <c r="P406" s="10"/>
      <c r="Q406" s="10" t="s">
        <v>553</v>
      </c>
      <c r="R406" s="10" t="s">
        <v>119</v>
      </c>
      <c r="S406" s="10" t="s">
        <v>130</v>
      </c>
      <c r="T406" s="10" t="s">
        <v>120</v>
      </c>
      <c r="U406" s="10" t="s">
        <v>101</v>
      </c>
      <c r="V406" s="10" t="s">
        <v>121</v>
      </c>
      <c r="W406" s="10" t="s">
        <v>122</v>
      </c>
      <c r="X406" s="10" t="s">
        <v>123</v>
      </c>
      <c r="Y406" s="29">
        <v>1</v>
      </c>
      <c r="Z406" s="138" t="s">
        <v>598</v>
      </c>
      <c r="AA406" s="138">
        <v>44865</v>
      </c>
      <c r="AB406" s="9" t="s">
        <v>114</v>
      </c>
      <c r="AC406" s="9" t="s">
        <v>124</v>
      </c>
      <c r="AD406" s="15">
        <v>45016</v>
      </c>
      <c r="AE406" s="39" t="s">
        <v>125</v>
      </c>
      <c r="AF406" s="177">
        <v>6</v>
      </c>
      <c r="AG406" s="140">
        <v>0</v>
      </c>
      <c r="AH406" s="9">
        <v>0</v>
      </c>
      <c r="AI406" s="10" t="s">
        <v>126</v>
      </c>
      <c r="AJ406" s="10"/>
      <c r="AK406" s="29"/>
      <c r="AL406" s="12">
        <v>3.5863013698630137</v>
      </c>
      <c r="AM406" s="10">
        <v>0</v>
      </c>
      <c r="AN406" s="12">
        <f>FAR[[#This Row],[Opening RUL]]+FAR[[#This Row],[RUL Adjustment]]</f>
        <v>3.5863013698630137</v>
      </c>
      <c r="AO406" s="12">
        <f>FAR[[#This Row],[Opening RUL 30 June 2026]]-1</f>
        <v>2.5863013698630137</v>
      </c>
      <c r="AP406" s="12" t="s">
        <v>1050</v>
      </c>
      <c r="AQ406" s="139"/>
      <c r="AR406" s="10" t="s">
        <v>127</v>
      </c>
      <c r="AS406" s="13">
        <v>3206.2</v>
      </c>
      <c r="AT406" s="13"/>
      <c r="AU406" s="13"/>
      <c r="AV406" s="13"/>
      <c r="AW406" s="13"/>
      <c r="AX406" s="13">
        <v>3206.2</v>
      </c>
      <c r="AY406" s="13">
        <v>1916.399908675799</v>
      </c>
      <c r="AZ406" s="13">
        <v>0</v>
      </c>
      <c r="BA406" s="13"/>
      <c r="BB406" s="13"/>
      <c r="BC406" s="13">
        <v>-1289.8000913242008</v>
      </c>
      <c r="BD406" s="13"/>
      <c r="BE406" s="13" t="s">
        <v>114</v>
      </c>
      <c r="BF406" s="29"/>
      <c r="BG406" s="13"/>
      <c r="BH406" s="13">
        <f>-FAR[[#This Row],[Carrying value (opening balance)]]/FAR[[#This Row],[Opening RUL 30 June 2026]]</f>
        <v>-534.36666666666667</v>
      </c>
      <c r="BI406" s="13">
        <f>FAR[[#This Row],[Depreciation YTD]]/12</f>
        <v>-44.530555555555559</v>
      </c>
      <c r="BJ406" s="13"/>
      <c r="BK406" s="13" t="s">
        <v>116</v>
      </c>
      <c r="BL406" s="13">
        <v>0</v>
      </c>
      <c r="BM406" s="13">
        <f>FAR[[#This Row],[Accumulated depreciation (Opening balance)]]+FAR[[#This Row],[Depreciation YTD]]+FAR[[#This Row],[Derecognitions (acc dep) '[+']]]</f>
        <v>-1824.1667579908676</v>
      </c>
      <c r="BN406" s="13"/>
      <c r="BO406" s="13"/>
      <c r="BP406" s="13"/>
      <c r="BQ406" s="13"/>
      <c r="BR40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06" s="13">
        <f>FAR[[#This Row],[Cost Price (closing balance)]]+FAR[[#This Row],[Accumulated depreciation (Closing balance)]]+FAR[[#This Row],[Accumulated impairments (Closing balance)]]</f>
        <v>1382.0332420091322</v>
      </c>
      <c r="BT406" s="13">
        <f>FAR[[#This Row],[Accumulated depreciation (Opening balance)]]</f>
        <v>-1289.8000913242008</v>
      </c>
      <c r="BU406" s="13"/>
      <c r="BV406" s="13"/>
      <c r="BW406" s="10"/>
      <c r="BX406" s="9"/>
      <c r="BY406" s="10"/>
      <c r="BZ406" t="s">
        <v>992</v>
      </c>
      <c r="CA406"/>
      <c r="CB406" s="34"/>
      <c r="CC406" s="34"/>
      <c r="CD406" s="34"/>
      <c r="CE406" s="141">
        <f>FAR[[#This Row],[Additions capitalised (@actual cost)]]/FAR[[#This Row],[EUL]]</f>
        <v>0</v>
      </c>
    </row>
    <row r="407" spans="1:83">
      <c r="A407" s="35">
        <v>1614</v>
      </c>
      <c r="B407" s="9" t="s">
        <v>867</v>
      </c>
      <c r="C407" s="9" t="s">
        <v>54</v>
      </c>
      <c r="D407" s="10" t="s">
        <v>1</v>
      </c>
      <c r="E407" s="9" t="s">
        <v>115</v>
      </c>
      <c r="F407" s="36" t="s">
        <v>99</v>
      </c>
      <c r="G407" s="9" t="s">
        <v>100</v>
      </c>
      <c r="H407" s="3" t="s">
        <v>128</v>
      </c>
      <c r="I407" s="9" t="s">
        <v>100</v>
      </c>
      <c r="J407" s="36" t="s">
        <v>101</v>
      </c>
      <c r="K407" s="10" t="s">
        <v>559</v>
      </c>
      <c r="L407" s="10" t="s">
        <v>559</v>
      </c>
      <c r="M407" s="9" t="s">
        <v>100</v>
      </c>
      <c r="N407" s="10" t="s">
        <v>553</v>
      </c>
      <c r="O407" s="9" t="s">
        <v>100</v>
      </c>
      <c r="P407" s="10"/>
      <c r="Q407" s="10" t="s">
        <v>553</v>
      </c>
      <c r="R407" s="10" t="s">
        <v>119</v>
      </c>
      <c r="S407" s="10" t="s">
        <v>130</v>
      </c>
      <c r="T407" s="10" t="s">
        <v>120</v>
      </c>
      <c r="U407" s="10" t="s">
        <v>101</v>
      </c>
      <c r="V407" s="10" t="s">
        <v>121</v>
      </c>
      <c r="W407" s="10" t="s">
        <v>122</v>
      </c>
      <c r="X407" s="10" t="s">
        <v>123</v>
      </c>
      <c r="Y407" s="29">
        <v>1</v>
      </c>
      <c r="Z407" s="138" t="s">
        <v>598</v>
      </c>
      <c r="AA407" s="138">
        <v>44865</v>
      </c>
      <c r="AB407" s="9" t="s">
        <v>114</v>
      </c>
      <c r="AC407" s="9" t="s">
        <v>124</v>
      </c>
      <c r="AD407" s="15">
        <v>45016</v>
      </c>
      <c r="AE407" s="39" t="s">
        <v>125</v>
      </c>
      <c r="AF407" s="177">
        <v>6</v>
      </c>
      <c r="AG407" s="140">
        <v>0</v>
      </c>
      <c r="AH407" s="9">
        <v>0</v>
      </c>
      <c r="AI407" s="10" t="s">
        <v>126</v>
      </c>
      <c r="AJ407" s="10"/>
      <c r="AK407" s="29"/>
      <c r="AL407" s="12">
        <v>3.5863013698630137</v>
      </c>
      <c r="AM407" s="10">
        <v>0</v>
      </c>
      <c r="AN407" s="12">
        <f>FAR[[#This Row],[Opening RUL]]+FAR[[#This Row],[RUL Adjustment]]</f>
        <v>3.5863013698630137</v>
      </c>
      <c r="AO407" s="12">
        <f>FAR[[#This Row],[Opening RUL 30 June 2026]]-1</f>
        <v>2.5863013698630137</v>
      </c>
      <c r="AP407" s="12" t="s">
        <v>1050</v>
      </c>
      <c r="AQ407" s="139"/>
      <c r="AR407" s="10" t="s">
        <v>127</v>
      </c>
      <c r="AS407" s="13">
        <v>3206.2</v>
      </c>
      <c r="AT407" s="13"/>
      <c r="AU407" s="13"/>
      <c r="AV407" s="13"/>
      <c r="AW407" s="13"/>
      <c r="AX407" s="13">
        <v>3206.2</v>
      </c>
      <c r="AY407" s="13">
        <v>1916.399908675799</v>
      </c>
      <c r="AZ407" s="13">
        <v>0</v>
      </c>
      <c r="BA407" s="13"/>
      <c r="BB407" s="13"/>
      <c r="BC407" s="13">
        <v>-1289.8000913242008</v>
      </c>
      <c r="BD407" s="13"/>
      <c r="BE407" s="13" t="s">
        <v>114</v>
      </c>
      <c r="BF407" s="29"/>
      <c r="BG407" s="13"/>
      <c r="BH407" s="13">
        <f>-FAR[[#This Row],[Carrying value (opening balance)]]/FAR[[#This Row],[Opening RUL 30 June 2026]]</f>
        <v>-534.36666666666667</v>
      </c>
      <c r="BI407" s="13">
        <f>FAR[[#This Row],[Depreciation YTD]]/12</f>
        <v>-44.530555555555559</v>
      </c>
      <c r="BJ407" s="13"/>
      <c r="BK407" s="13" t="s">
        <v>116</v>
      </c>
      <c r="BL407" s="13">
        <v>0</v>
      </c>
      <c r="BM407" s="13">
        <f>FAR[[#This Row],[Accumulated depreciation (Opening balance)]]+FAR[[#This Row],[Depreciation YTD]]+FAR[[#This Row],[Derecognitions (acc dep) '[+']]]</f>
        <v>-1824.1667579908676</v>
      </c>
      <c r="BN407" s="13"/>
      <c r="BO407" s="13"/>
      <c r="BP407" s="13"/>
      <c r="BQ407" s="13"/>
      <c r="BR40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07" s="13">
        <f>FAR[[#This Row],[Cost Price (closing balance)]]+FAR[[#This Row],[Accumulated depreciation (Closing balance)]]+FAR[[#This Row],[Accumulated impairments (Closing balance)]]</f>
        <v>1382.0332420091322</v>
      </c>
      <c r="BT407" s="13">
        <f>FAR[[#This Row],[Accumulated depreciation (Opening balance)]]</f>
        <v>-1289.8000913242008</v>
      </c>
      <c r="BU407" s="13"/>
      <c r="BV407" s="13"/>
      <c r="BW407" s="10"/>
      <c r="BX407" s="9"/>
      <c r="BY407" s="10"/>
      <c r="BZ407" t="s">
        <v>1039</v>
      </c>
      <c r="CA407"/>
      <c r="CB407" s="34"/>
      <c r="CC407" s="34"/>
      <c r="CD407" s="34"/>
      <c r="CE407" s="141">
        <f>FAR[[#This Row],[Additions capitalised (@actual cost)]]/FAR[[#This Row],[EUL]]</f>
        <v>0</v>
      </c>
    </row>
    <row r="408" spans="1:83">
      <c r="A408" s="35">
        <v>1615</v>
      </c>
      <c r="B408" s="9" t="s">
        <v>877</v>
      </c>
      <c r="C408" s="9" t="s">
        <v>54</v>
      </c>
      <c r="D408" s="10" t="s">
        <v>1</v>
      </c>
      <c r="E408" s="9" t="s">
        <v>115</v>
      </c>
      <c r="F408" s="36" t="s">
        <v>99</v>
      </c>
      <c r="G408" s="9" t="s">
        <v>100</v>
      </c>
      <c r="H408" s="3" t="s">
        <v>128</v>
      </c>
      <c r="I408" s="9" t="s">
        <v>100</v>
      </c>
      <c r="J408" s="36" t="s">
        <v>101</v>
      </c>
      <c r="K408" s="10" t="s">
        <v>559</v>
      </c>
      <c r="L408" s="10" t="s">
        <v>559</v>
      </c>
      <c r="M408" s="9" t="s">
        <v>100</v>
      </c>
      <c r="N408" s="10" t="s">
        <v>553</v>
      </c>
      <c r="O408" s="9" t="s">
        <v>100</v>
      </c>
      <c r="P408" s="10"/>
      <c r="Q408" s="10" t="s">
        <v>553</v>
      </c>
      <c r="R408" s="10" t="s">
        <v>119</v>
      </c>
      <c r="S408" s="10" t="s">
        <v>130</v>
      </c>
      <c r="T408" s="10" t="s">
        <v>120</v>
      </c>
      <c r="U408" s="10" t="s">
        <v>101</v>
      </c>
      <c r="V408" s="10" t="s">
        <v>121</v>
      </c>
      <c r="W408" s="10" t="s">
        <v>122</v>
      </c>
      <c r="X408" s="10" t="s">
        <v>123</v>
      </c>
      <c r="Y408" s="29">
        <v>1</v>
      </c>
      <c r="Z408" s="138" t="s">
        <v>598</v>
      </c>
      <c r="AA408" s="138">
        <v>44865</v>
      </c>
      <c r="AB408" s="9" t="s">
        <v>114</v>
      </c>
      <c r="AC408" s="9" t="s">
        <v>124</v>
      </c>
      <c r="AD408" s="15">
        <v>45016</v>
      </c>
      <c r="AE408" s="39" t="s">
        <v>125</v>
      </c>
      <c r="AF408" s="177">
        <v>6</v>
      </c>
      <c r="AG408" s="140">
        <v>0</v>
      </c>
      <c r="AH408" s="9">
        <v>0</v>
      </c>
      <c r="AI408" s="10" t="s">
        <v>126</v>
      </c>
      <c r="AJ408" s="10"/>
      <c r="AK408" s="29"/>
      <c r="AL408" s="12">
        <v>3.5863013698630137</v>
      </c>
      <c r="AM408" s="10">
        <v>0</v>
      </c>
      <c r="AN408" s="12">
        <f>FAR[[#This Row],[Opening RUL]]+FAR[[#This Row],[RUL Adjustment]]</f>
        <v>3.5863013698630137</v>
      </c>
      <c r="AO408" s="12">
        <f>FAR[[#This Row],[Opening RUL 30 June 2026]]-1</f>
        <v>2.5863013698630137</v>
      </c>
      <c r="AP408" s="12" t="s">
        <v>1050</v>
      </c>
      <c r="AQ408" s="139"/>
      <c r="AR408" s="10" t="s">
        <v>127</v>
      </c>
      <c r="AS408" s="13">
        <v>3206.2</v>
      </c>
      <c r="AT408" s="13"/>
      <c r="AU408" s="13"/>
      <c r="AV408" s="13"/>
      <c r="AW408" s="13"/>
      <c r="AX408" s="13">
        <v>3206.2</v>
      </c>
      <c r="AY408" s="13">
        <v>1916.399908675799</v>
      </c>
      <c r="AZ408" s="13">
        <v>0</v>
      </c>
      <c r="BA408" s="13"/>
      <c r="BB408" s="13"/>
      <c r="BC408" s="13">
        <v>-1289.8000913242008</v>
      </c>
      <c r="BD408" s="13"/>
      <c r="BE408" s="13" t="s">
        <v>114</v>
      </c>
      <c r="BF408" s="29"/>
      <c r="BG408" s="13"/>
      <c r="BH408" s="13">
        <f>-FAR[[#This Row],[Carrying value (opening balance)]]/FAR[[#This Row],[Opening RUL 30 June 2026]]</f>
        <v>-534.36666666666667</v>
      </c>
      <c r="BI408" s="13">
        <f>FAR[[#This Row],[Depreciation YTD]]/12</f>
        <v>-44.530555555555559</v>
      </c>
      <c r="BJ408" s="13"/>
      <c r="BK408" s="13" t="s">
        <v>116</v>
      </c>
      <c r="BL408" s="13">
        <v>0</v>
      </c>
      <c r="BM408" s="13">
        <f>FAR[[#This Row],[Accumulated depreciation (Opening balance)]]+FAR[[#This Row],[Depreciation YTD]]+FAR[[#This Row],[Derecognitions (acc dep) '[+']]]</f>
        <v>-1824.1667579908676</v>
      </c>
      <c r="BN408" s="13"/>
      <c r="BO408" s="13"/>
      <c r="BP408" s="13"/>
      <c r="BQ408" s="13"/>
      <c r="BR40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08" s="13">
        <f>FAR[[#This Row],[Cost Price (closing balance)]]+FAR[[#This Row],[Accumulated depreciation (Closing balance)]]+FAR[[#This Row],[Accumulated impairments (Closing balance)]]</f>
        <v>1382.0332420091322</v>
      </c>
      <c r="BT408" s="13">
        <f>FAR[[#This Row],[Accumulated depreciation (Opening balance)]]</f>
        <v>-1289.8000913242008</v>
      </c>
      <c r="BU408" s="13"/>
      <c r="BV408" s="13"/>
      <c r="BW408" s="10"/>
      <c r="BX408" s="9"/>
      <c r="BY408" s="10"/>
      <c r="BZ408" t="s">
        <v>1040</v>
      </c>
      <c r="CA408"/>
      <c r="CB408" s="34"/>
      <c r="CC408" s="34"/>
      <c r="CD408" s="34"/>
      <c r="CE408" s="141">
        <f>FAR[[#This Row],[Additions capitalised (@actual cost)]]/FAR[[#This Row],[EUL]]</f>
        <v>0</v>
      </c>
    </row>
    <row r="409" spans="1:83">
      <c r="A409" s="35">
        <v>1616</v>
      </c>
      <c r="B409" s="9" t="s">
        <v>851</v>
      </c>
      <c r="C409" s="9" t="s">
        <v>54</v>
      </c>
      <c r="D409" s="10" t="s">
        <v>1</v>
      </c>
      <c r="E409" s="9" t="s">
        <v>115</v>
      </c>
      <c r="F409" s="36" t="s">
        <v>99</v>
      </c>
      <c r="G409" s="9" t="s">
        <v>100</v>
      </c>
      <c r="H409" s="3" t="s">
        <v>128</v>
      </c>
      <c r="I409" s="9" t="s">
        <v>100</v>
      </c>
      <c r="J409" s="36" t="s">
        <v>101</v>
      </c>
      <c r="K409" s="10" t="s">
        <v>559</v>
      </c>
      <c r="L409" s="10" t="s">
        <v>559</v>
      </c>
      <c r="M409" s="9" t="s">
        <v>100</v>
      </c>
      <c r="N409" s="10" t="s">
        <v>553</v>
      </c>
      <c r="O409" s="9" t="s">
        <v>100</v>
      </c>
      <c r="P409" s="10"/>
      <c r="Q409" s="10" t="s">
        <v>553</v>
      </c>
      <c r="R409" s="10" t="s">
        <v>119</v>
      </c>
      <c r="S409" s="10" t="s">
        <v>130</v>
      </c>
      <c r="T409" s="10" t="s">
        <v>120</v>
      </c>
      <c r="U409" s="10" t="s">
        <v>101</v>
      </c>
      <c r="V409" s="10" t="s">
        <v>121</v>
      </c>
      <c r="W409" s="10" t="s">
        <v>122</v>
      </c>
      <c r="X409" s="10" t="s">
        <v>123</v>
      </c>
      <c r="Y409" s="29">
        <v>1</v>
      </c>
      <c r="Z409" s="138" t="s">
        <v>598</v>
      </c>
      <c r="AA409" s="138">
        <v>44865</v>
      </c>
      <c r="AB409" s="9" t="s">
        <v>114</v>
      </c>
      <c r="AC409" s="9" t="s">
        <v>124</v>
      </c>
      <c r="AD409" s="15">
        <v>45016</v>
      </c>
      <c r="AE409" s="39" t="s">
        <v>125</v>
      </c>
      <c r="AF409" s="177">
        <v>6</v>
      </c>
      <c r="AG409" s="140">
        <v>0</v>
      </c>
      <c r="AH409" s="9">
        <v>0</v>
      </c>
      <c r="AI409" s="10" t="s">
        <v>126</v>
      </c>
      <c r="AJ409" s="10"/>
      <c r="AK409" s="29"/>
      <c r="AL409" s="12">
        <v>3.5863013698630137</v>
      </c>
      <c r="AM409" s="10">
        <v>0</v>
      </c>
      <c r="AN409" s="12">
        <f>FAR[[#This Row],[Opening RUL]]+FAR[[#This Row],[RUL Adjustment]]</f>
        <v>3.5863013698630137</v>
      </c>
      <c r="AO409" s="12">
        <f>FAR[[#This Row],[Opening RUL 30 June 2026]]-1</f>
        <v>2.5863013698630137</v>
      </c>
      <c r="AP409" s="12" t="s">
        <v>1050</v>
      </c>
      <c r="AQ409" s="139"/>
      <c r="AR409" s="10" t="s">
        <v>127</v>
      </c>
      <c r="AS409" s="13">
        <v>3206.2</v>
      </c>
      <c r="AT409" s="13"/>
      <c r="AU409" s="13"/>
      <c r="AV409" s="13"/>
      <c r="AW409" s="13"/>
      <c r="AX409" s="13">
        <v>3206.2</v>
      </c>
      <c r="AY409" s="13">
        <v>1916.399908675799</v>
      </c>
      <c r="AZ409" s="13">
        <v>0</v>
      </c>
      <c r="BA409" s="13"/>
      <c r="BB409" s="13"/>
      <c r="BC409" s="13">
        <v>-1289.8000913242008</v>
      </c>
      <c r="BD409" s="13"/>
      <c r="BE409" s="13" t="s">
        <v>114</v>
      </c>
      <c r="BF409" s="29"/>
      <c r="BG409" s="13"/>
      <c r="BH409" s="13">
        <f>-FAR[[#This Row],[Carrying value (opening balance)]]/FAR[[#This Row],[Opening RUL 30 June 2026]]</f>
        <v>-534.36666666666667</v>
      </c>
      <c r="BI409" s="13">
        <f>FAR[[#This Row],[Depreciation YTD]]/12</f>
        <v>-44.530555555555559</v>
      </c>
      <c r="BJ409" s="13"/>
      <c r="BK409" s="13" t="s">
        <v>116</v>
      </c>
      <c r="BL409" s="13">
        <v>0</v>
      </c>
      <c r="BM409" s="13">
        <f>FAR[[#This Row],[Accumulated depreciation (Opening balance)]]+FAR[[#This Row],[Depreciation YTD]]+FAR[[#This Row],[Derecognitions (acc dep) '[+']]]</f>
        <v>-1824.1667579908676</v>
      </c>
      <c r="BN409" s="13"/>
      <c r="BO409" s="13"/>
      <c r="BP409" s="13"/>
      <c r="BQ409" s="13"/>
      <c r="BR40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09" s="13">
        <f>FAR[[#This Row],[Cost Price (closing balance)]]+FAR[[#This Row],[Accumulated depreciation (Closing balance)]]+FAR[[#This Row],[Accumulated impairments (Closing balance)]]</f>
        <v>1382.0332420091322</v>
      </c>
      <c r="BT409" s="13">
        <f>FAR[[#This Row],[Accumulated depreciation (Opening balance)]]</f>
        <v>-1289.8000913242008</v>
      </c>
      <c r="BU409" s="13"/>
      <c r="BV409" s="13"/>
      <c r="BW409" s="10"/>
      <c r="BX409" s="9"/>
      <c r="BY409" s="10"/>
      <c r="BZ409" t="s">
        <v>966</v>
      </c>
      <c r="CA409"/>
      <c r="CB409" s="34"/>
      <c r="CC409" s="34"/>
      <c r="CD409" s="34"/>
      <c r="CE409" s="141">
        <f>FAR[[#This Row],[Additions capitalised (@actual cost)]]/FAR[[#This Row],[EUL]]</f>
        <v>0</v>
      </c>
    </row>
    <row r="410" spans="1:83">
      <c r="A410" s="35">
        <v>1617</v>
      </c>
      <c r="B410" s="9" t="s">
        <v>877</v>
      </c>
      <c r="C410" s="9" t="s">
        <v>54</v>
      </c>
      <c r="D410" s="10" t="s">
        <v>1</v>
      </c>
      <c r="E410" s="9" t="s">
        <v>115</v>
      </c>
      <c r="F410" s="36" t="s">
        <v>99</v>
      </c>
      <c r="G410" s="9" t="s">
        <v>100</v>
      </c>
      <c r="H410" s="3" t="s">
        <v>128</v>
      </c>
      <c r="I410" s="9" t="s">
        <v>100</v>
      </c>
      <c r="J410" s="36" t="s">
        <v>101</v>
      </c>
      <c r="K410" s="10" t="s">
        <v>559</v>
      </c>
      <c r="L410" s="10" t="s">
        <v>559</v>
      </c>
      <c r="M410" s="9" t="s">
        <v>100</v>
      </c>
      <c r="N410" s="10" t="s">
        <v>553</v>
      </c>
      <c r="O410" s="9" t="s">
        <v>100</v>
      </c>
      <c r="P410" s="10"/>
      <c r="Q410" s="10" t="s">
        <v>553</v>
      </c>
      <c r="R410" s="10" t="s">
        <v>119</v>
      </c>
      <c r="S410" s="10" t="s">
        <v>130</v>
      </c>
      <c r="T410" s="10" t="s">
        <v>120</v>
      </c>
      <c r="U410" s="10" t="s">
        <v>101</v>
      </c>
      <c r="V410" s="10" t="s">
        <v>121</v>
      </c>
      <c r="W410" s="10" t="s">
        <v>122</v>
      </c>
      <c r="X410" s="10" t="s">
        <v>123</v>
      </c>
      <c r="Y410" s="29">
        <v>1</v>
      </c>
      <c r="Z410" s="138" t="s">
        <v>598</v>
      </c>
      <c r="AA410" s="138">
        <v>44865</v>
      </c>
      <c r="AB410" s="9" t="s">
        <v>114</v>
      </c>
      <c r="AC410" s="9" t="s">
        <v>124</v>
      </c>
      <c r="AD410" s="15">
        <v>45016</v>
      </c>
      <c r="AE410" s="39" t="s">
        <v>125</v>
      </c>
      <c r="AF410" s="177">
        <v>6</v>
      </c>
      <c r="AG410" s="140">
        <v>0</v>
      </c>
      <c r="AH410" s="9">
        <v>0</v>
      </c>
      <c r="AI410" s="10" t="s">
        <v>126</v>
      </c>
      <c r="AJ410" s="10"/>
      <c r="AK410" s="29"/>
      <c r="AL410" s="12">
        <v>3.5863013698630137</v>
      </c>
      <c r="AM410" s="10">
        <v>0</v>
      </c>
      <c r="AN410" s="12">
        <f>FAR[[#This Row],[Opening RUL]]+FAR[[#This Row],[RUL Adjustment]]</f>
        <v>3.5863013698630137</v>
      </c>
      <c r="AO410" s="12">
        <f>FAR[[#This Row],[Opening RUL 30 June 2026]]-1</f>
        <v>2.5863013698630137</v>
      </c>
      <c r="AP410" s="12" t="s">
        <v>1050</v>
      </c>
      <c r="AQ410" s="139"/>
      <c r="AR410" s="10" t="s">
        <v>127</v>
      </c>
      <c r="AS410" s="13">
        <v>3206.2</v>
      </c>
      <c r="AT410" s="13"/>
      <c r="AU410" s="13"/>
      <c r="AV410" s="13"/>
      <c r="AW410" s="13"/>
      <c r="AX410" s="13">
        <v>3206.2</v>
      </c>
      <c r="AY410" s="13">
        <v>1916.399908675799</v>
      </c>
      <c r="AZ410" s="13">
        <v>0</v>
      </c>
      <c r="BA410" s="13"/>
      <c r="BB410" s="13"/>
      <c r="BC410" s="13">
        <v>-1289.8000913242008</v>
      </c>
      <c r="BD410" s="13"/>
      <c r="BE410" s="13" t="s">
        <v>114</v>
      </c>
      <c r="BF410" s="29"/>
      <c r="BG410" s="13"/>
      <c r="BH410" s="13">
        <f>-FAR[[#This Row],[Carrying value (opening balance)]]/FAR[[#This Row],[Opening RUL 30 June 2026]]</f>
        <v>-534.36666666666667</v>
      </c>
      <c r="BI410" s="13">
        <f>FAR[[#This Row],[Depreciation YTD]]/12</f>
        <v>-44.530555555555559</v>
      </c>
      <c r="BJ410" s="13"/>
      <c r="BK410" s="13" t="s">
        <v>116</v>
      </c>
      <c r="BL410" s="13">
        <v>0</v>
      </c>
      <c r="BM410" s="13">
        <f>FAR[[#This Row],[Accumulated depreciation (Opening balance)]]+FAR[[#This Row],[Depreciation YTD]]+FAR[[#This Row],[Derecognitions (acc dep) '[+']]]</f>
        <v>-1824.1667579908676</v>
      </c>
      <c r="BN410" s="13"/>
      <c r="BO410" s="13"/>
      <c r="BP410" s="13"/>
      <c r="BQ410" s="13"/>
      <c r="BR41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10" s="13">
        <f>FAR[[#This Row],[Cost Price (closing balance)]]+FAR[[#This Row],[Accumulated depreciation (Closing balance)]]+FAR[[#This Row],[Accumulated impairments (Closing balance)]]</f>
        <v>1382.0332420091322</v>
      </c>
      <c r="BT410" s="13">
        <f>FAR[[#This Row],[Accumulated depreciation (Opening balance)]]</f>
        <v>-1289.8000913242008</v>
      </c>
      <c r="BU410" s="13"/>
      <c r="BV410" s="13"/>
      <c r="BW410" s="10"/>
      <c r="BX410" s="9"/>
      <c r="BY410" s="10"/>
      <c r="BZ410" t="s">
        <v>1041</v>
      </c>
      <c r="CA410"/>
      <c r="CB410" s="34"/>
      <c r="CC410" s="34"/>
      <c r="CD410" s="34"/>
      <c r="CE410" s="141">
        <f>FAR[[#This Row],[Additions capitalised (@actual cost)]]/FAR[[#This Row],[EUL]]</f>
        <v>0</v>
      </c>
    </row>
    <row r="411" spans="1:83">
      <c r="A411" s="35">
        <v>1634</v>
      </c>
      <c r="B411" s="9" t="s">
        <v>936</v>
      </c>
      <c r="C411" s="9" t="s">
        <v>54</v>
      </c>
      <c r="D411" s="10" t="s">
        <v>1</v>
      </c>
      <c r="E411" s="9" t="s">
        <v>115</v>
      </c>
      <c r="F411" s="36" t="s">
        <v>99</v>
      </c>
      <c r="G411" s="9" t="s">
        <v>100</v>
      </c>
      <c r="H411" s="3" t="s">
        <v>128</v>
      </c>
      <c r="I411" s="9" t="s">
        <v>100</v>
      </c>
      <c r="J411" s="36" t="s">
        <v>101</v>
      </c>
      <c r="K411" s="10" t="s">
        <v>559</v>
      </c>
      <c r="L411" s="10" t="s">
        <v>559</v>
      </c>
      <c r="M411" s="9" t="s">
        <v>100</v>
      </c>
      <c r="N411" s="10" t="s">
        <v>553</v>
      </c>
      <c r="O411" s="9" t="s">
        <v>100</v>
      </c>
      <c r="P411" s="10"/>
      <c r="Q411" s="10" t="s">
        <v>553</v>
      </c>
      <c r="R411" s="10" t="s">
        <v>119</v>
      </c>
      <c r="S411" s="10" t="s">
        <v>130</v>
      </c>
      <c r="T411" s="10" t="s">
        <v>120</v>
      </c>
      <c r="U411" s="10" t="s">
        <v>101</v>
      </c>
      <c r="V411" s="10" t="s">
        <v>121</v>
      </c>
      <c r="W411" s="10" t="s">
        <v>122</v>
      </c>
      <c r="X411" s="10" t="s">
        <v>123</v>
      </c>
      <c r="Y411" s="29">
        <v>1</v>
      </c>
      <c r="Z411" s="138" t="s">
        <v>598</v>
      </c>
      <c r="AA411" s="138">
        <v>44865</v>
      </c>
      <c r="AB411" s="9" t="s">
        <v>114</v>
      </c>
      <c r="AC411" s="9" t="s">
        <v>124</v>
      </c>
      <c r="AD411" s="15">
        <v>45016</v>
      </c>
      <c r="AE411" s="39" t="s">
        <v>125</v>
      </c>
      <c r="AF411" s="177">
        <v>6</v>
      </c>
      <c r="AG411" s="140">
        <v>0</v>
      </c>
      <c r="AH411" s="9">
        <v>0</v>
      </c>
      <c r="AI411" s="10" t="s">
        <v>126</v>
      </c>
      <c r="AJ411" s="10"/>
      <c r="AK411" s="29"/>
      <c r="AL411" s="12">
        <v>3.5863013698630137</v>
      </c>
      <c r="AM411" s="10">
        <v>0</v>
      </c>
      <c r="AN411" s="12">
        <f>FAR[[#This Row],[Opening RUL]]+FAR[[#This Row],[RUL Adjustment]]</f>
        <v>3.5863013698630137</v>
      </c>
      <c r="AO411" s="12">
        <f>FAR[[#This Row],[Opening RUL 30 June 2026]]-1</f>
        <v>2.5863013698630137</v>
      </c>
      <c r="AP411" s="12" t="s">
        <v>1050</v>
      </c>
      <c r="AQ411" s="139"/>
      <c r="AR411" s="10" t="s">
        <v>127</v>
      </c>
      <c r="AS411" s="13">
        <v>3206.2</v>
      </c>
      <c r="AT411" s="13"/>
      <c r="AU411" s="13"/>
      <c r="AV411" s="13"/>
      <c r="AW411" s="13"/>
      <c r="AX411" s="13">
        <v>3206.2</v>
      </c>
      <c r="AY411" s="13">
        <v>1916.399908675799</v>
      </c>
      <c r="AZ411" s="13">
        <v>0</v>
      </c>
      <c r="BA411" s="13"/>
      <c r="BB411" s="13"/>
      <c r="BC411" s="13">
        <v>-1289.8000913242008</v>
      </c>
      <c r="BD411" s="13"/>
      <c r="BE411" s="13" t="s">
        <v>114</v>
      </c>
      <c r="BF411" s="29"/>
      <c r="BG411" s="13"/>
      <c r="BH411" s="13">
        <f>-FAR[[#This Row],[Carrying value (opening balance)]]/FAR[[#This Row],[Opening RUL 30 June 2026]]</f>
        <v>-534.36666666666667</v>
      </c>
      <c r="BI411" s="13">
        <f>FAR[[#This Row],[Depreciation YTD]]/12</f>
        <v>-44.530555555555559</v>
      </c>
      <c r="BJ411" s="13"/>
      <c r="BK411" s="13" t="s">
        <v>116</v>
      </c>
      <c r="BL411" s="13">
        <v>0</v>
      </c>
      <c r="BM411" s="13">
        <f>FAR[[#This Row],[Accumulated depreciation (Opening balance)]]+FAR[[#This Row],[Depreciation YTD]]+FAR[[#This Row],[Derecognitions (acc dep) '[+']]]</f>
        <v>-1824.1667579908676</v>
      </c>
      <c r="BN411" s="13"/>
      <c r="BO411" s="13"/>
      <c r="BP411" s="13"/>
      <c r="BQ411" s="13"/>
      <c r="BR41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11" s="13">
        <f>FAR[[#This Row],[Cost Price (closing balance)]]+FAR[[#This Row],[Accumulated depreciation (Closing balance)]]+FAR[[#This Row],[Accumulated impairments (Closing balance)]]</f>
        <v>1382.0332420091322</v>
      </c>
      <c r="BT411" s="13">
        <f>FAR[[#This Row],[Accumulated depreciation (Opening balance)]]</f>
        <v>-1289.8000913242008</v>
      </c>
      <c r="BU411" s="13"/>
      <c r="BV411" s="13"/>
      <c r="BW411" s="10"/>
      <c r="BX411" s="9"/>
      <c r="BY411" s="10"/>
      <c r="BZ411" t="s">
        <v>1034</v>
      </c>
      <c r="CA411"/>
      <c r="CB411" s="34"/>
      <c r="CC411" s="34"/>
      <c r="CD411" s="34"/>
      <c r="CE411" s="141">
        <f>FAR[[#This Row],[Additions capitalised (@actual cost)]]/FAR[[#This Row],[EUL]]</f>
        <v>0</v>
      </c>
    </row>
    <row r="412" spans="1:83">
      <c r="A412" s="35">
        <v>1618</v>
      </c>
      <c r="B412" s="9" t="s">
        <v>908</v>
      </c>
      <c r="C412" s="9" t="s">
        <v>54</v>
      </c>
      <c r="D412" s="10" t="s">
        <v>1</v>
      </c>
      <c r="E412" s="9" t="s">
        <v>115</v>
      </c>
      <c r="F412" s="36" t="s">
        <v>99</v>
      </c>
      <c r="G412" s="9" t="s">
        <v>100</v>
      </c>
      <c r="H412" s="3" t="s">
        <v>128</v>
      </c>
      <c r="I412" s="9" t="s">
        <v>100</v>
      </c>
      <c r="J412" s="36" t="s">
        <v>101</v>
      </c>
      <c r="K412" s="10" t="s">
        <v>559</v>
      </c>
      <c r="L412" s="10" t="s">
        <v>559</v>
      </c>
      <c r="M412" s="9" t="s">
        <v>100</v>
      </c>
      <c r="N412" s="10" t="s">
        <v>554</v>
      </c>
      <c r="O412" s="9" t="s">
        <v>100</v>
      </c>
      <c r="P412" s="10"/>
      <c r="Q412" s="10" t="s">
        <v>554</v>
      </c>
      <c r="R412" s="10" t="s">
        <v>119</v>
      </c>
      <c r="S412" s="10" t="s">
        <v>130</v>
      </c>
      <c r="T412" s="10" t="s">
        <v>120</v>
      </c>
      <c r="U412" s="10" t="s">
        <v>101</v>
      </c>
      <c r="V412" s="10" t="s">
        <v>121</v>
      </c>
      <c r="W412" s="10" t="s">
        <v>122</v>
      </c>
      <c r="X412" s="10" t="s">
        <v>123</v>
      </c>
      <c r="Y412" s="29">
        <v>1</v>
      </c>
      <c r="Z412" s="138" t="s">
        <v>598</v>
      </c>
      <c r="AA412" s="138">
        <v>44865</v>
      </c>
      <c r="AB412" s="9" t="s">
        <v>114</v>
      </c>
      <c r="AC412" s="9" t="s">
        <v>124</v>
      </c>
      <c r="AD412" s="15">
        <v>45016</v>
      </c>
      <c r="AE412" s="39" t="s">
        <v>125</v>
      </c>
      <c r="AF412" s="177">
        <v>6</v>
      </c>
      <c r="AG412" s="140">
        <v>0</v>
      </c>
      <c r="AH412" s="9">
        <v>0</v>
      </c>
      <c r="AI412" s="10" t="s">
        <v>126</v>
      </c>
      <c r="AJ412" s="10"/>
      <c r="AK412" s="29"/>
      <c r="AL412" s="12">
        <v>3.5863013698630137</v>
      </c>
      <c r="AM412" s="10">
        <v>0</v>
      </c>
      <c r="AN412" s="12">
        <f>FAR[[#This Row],[Opening RUL]]+FAR[[#This Row],[RUL Adjustment]]</f>
        <v>3.5863013698630137</v>
      </c>
      <c r="AO412" s="12">
        <f>FAR[[#This Row],[Opening RUL 30 June 2026]]-1</f>
        <v>2.5863013698630137</v>
      </c>
      <c r="AP412" s="12" t="s">
        <v>1050</v>
      </c>
      <c r="AQ412" s="139"/>
      <c r="AR412" s="10" t="s">
        <v>127</v>
      </c>
      <c r="AS412" s="13">
        <v>1697.4</v>
      </c>
      <c r="AT412" s="13"/>
      <c r="AU412" s="13"/>
      <c r="AV412" s="13"/>
      <c r="AW412" s="13"/>
      <c r="AX412" s="13">
        <v>1697.4</v>
      </c>
      <c r="AY412" s="13">
        <v>1014.5646575342466</v>
      </c>
      <c r="AZ412" s="13">
        <v>0</v>
      </c>
      <c r="BA412" s="13"/>
      <c r="BB412" s="13"/>
      <c r="BC412" s="13">
        <v>-682.83534246575346</v>
      </c>
      <c r="BD412" s="13"/>
      <c r="BE412" s="13" t="s">
        <v>114</v>
      </c>
      <c r="BF412" s="29"/>
      <c r="BG412" s="13"/>
      <c r="BH412" s="13">
        <f>-FAR[[#This Row],[Carrying value (opening balance)]]/FAR[[#This Row],[Opening RUL 30 June 2026]]</f>
        <v>-282.90000000000003</v>
      </c>
      <c r="BI412" s="13">
        <f>FAR[[#This Row],[Depreciation YTD]]/12</f>
        <v>-23.575000000000003</v>
      </c>
      <c r="BJ412" s="13"/>
      <c r="BK412" s="13" t="s">
        <v>116</v>
      </c>
      <c r="BL412" s="13">
        <v>0</v>
      </c>
      <c r="BM412" s="13">
        <f>FAR[[#This Row],[Accumulated depreciation (Opening balance)]]+FAR[[#This Row],[Depreciation YTD]]+FAR[[#This Row],[Derecognitions (acc dep) '[+']]]</f>
        <v>-965.73534246575355</v>
      </c>
      <c r="BN412" s="13"/>
      <c r="BO412" s="13"/>
      <c r="BP412" s="13"/>
      <c r="BQ412" s="13"/>
      <c r="BR41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12" s="13">
        <f>FAR[[#This Row],[Cost Price (closing balance)]]+FAR[[#This Row],[Accumulated depreciation (Closing balance)]]+FAR[[#This Row],[Accumulated impairments (Closing balance)]]</f>
        <v>731.66465753424654</v>
      </c>
      <c r="BT412" s="13">
        <f>FAR[[#This Row],[Accumulated depreciation (Opening balance)]]</f>
        <v>-682.83534246575346</v>
      </c>
      <c r="BU412" s="13"/>
      <c r="BV412" s="13"/>
      <c r="BW412" s="10"/>
      <c r="BX412" s="9"/>
      <c r="BY412" s="10"/>
      <c r="BZ412" t="s">
        <v>1001</v>
      </c>
      <c r="CA412"/>
      <c r="CB412" s="34"/>
      <c r="CC412" s="34"/>
      <c r="CD412" s="34"/>
      <c r="CE412" s="141">
        <f>FAR[[#This Row],[Additions capitalised (@actual cost)]]/FAR[[#This Row],[EUL]]</f>
        <v>0</v>
      </c>
    </row>
    <row r="413" spans="1:83">
      <c r="A413" s="35">
        <v>1619</v>
      </c>
      <c r="B413" s="9" t="s">
        <v>935</v>
      </c>
      <c r="C413" s="9" t="s">
        <v>54</v>
      </c>
      <c r="D413" s="10" t="s">
        <v>1</v>
      </c>
      <c r="E413" s="9" t="s">
        <v>115</v>
      </c>
      <c r="F413" s="36" t="s">
        <v>99</v>
      </c>
      <c r="G413" s="9" t="s">
        <v>100</v>
      </c>
      <c r="H413" s="3" t="s">
        <v>128</v>
      </c>
      <c r="I413" s="9" t="s">
        <v>100</v>
      </c>
      <c r="J413" s="36" t="s">
        <v>101</v>
      </c>
      <c r="K413" s="10" t="s">
        <v>559</v>
      </c>
      <c r="L413" s="10" t="s">
        <v>559</v>
      </c>
      <c r="M413" s="9" t="s">
        <v>100</v>
      </c>
      <c r="N413" s="10" t="s">
        <v>554</v>
      </c>
      <c r="O413" s="9" t="s">
        <v>100</v>
      </c>
      <c r="P413" s="10"/>
      <c r="Q413" s="10" t="s">
        <v>554</v>
      </c>
      <c r="R413" s="10" t="s">
        <v>119</v>
      </c>
      <c r="S413" s="10" t="s">
        <v>130</v>
      </c>
      <c r="T413" s="10" t="s">
        <v>120</v>
      </c>
      <c r="U413" s="10" t="s">
        <v>101</v>
      </c>
      <c r="V413" s="10" t="s">
        <v>121</v>
      </c>
      <c r="W413" s="10" t="s">
        <v>122</v>
      </c>
      <c r="X413" s="10" t="s">
        <v>123</v>
      </c>
      <c r="Y413" s="29">
        <v>1</v>
      </c>
      <c r="Z413" s="138" t="s">
        <v>598</v>
      </c>
      <c r="AA413" s="138">
        <v>44865</v>
      </c>
      <c r="AB413" s="9" t="s">
        <v>114</v>
      </c>
      <c r="AC413" s="9" t="s">
        <v>124</v>
      </c>
      <c r="AD413" s="15">
        <v>45016</v>
      </c>
      <c r="AE413" s="39" t="s">
        <v>125</v>
      </c>
      <c r="AF413" s="177">
        <v>6</v>
      </c>
      <c r="AG413" s="140">
        <v>0</v>
      </c>
      <c r="AH413" s="9">
        <v>0</v>
      </c>
      <c r="AI413" s="10" t="s">
        <v>126</v>
      </c>
      <c r="AJ413" s="10"/>
      <c r="AK413" s="29"/>
      <c r="AL413" s="12">
        <v>3.5863013698630137</v>
      </c>
      <c r="AM413" s="10">
        <v>0</v>
      </c>
      <c r="AN413" s="12">
        <f>FAR[[#This Row],[Opening RUL]]+FAR[[#This Row],[RUL Adjustment]]</f>
        <v>3.5863013698630137</v>
      </c>
      <c r="AO413" s="12">
        <f>FAR[[#This Row],[Opening RUL 30 June 2026]]-1</f>
        <v>2.5863013698630137</v>
      </c>
      <c r="AP413" s="12" t="s">
        <v>1050</v>
      </c>
      <c r="AQ413" s="139"/>
      <c r="AR413" s="10" t="s">
        <v>127</v>
      </c>
      <c r="AS413" s="13">
        <v>1697.4</v>
      </c>
      <c r="AT413" s="13"/>
      <c r="AU413" s="13"/>
      <c r="AV413" s="13"/>
      <c r="AW413" s="13"/>
      <c r="AX413" s="13">
        <v>1697.4</v>
      </c>
      <c r="AY413" s="13">
        <v>1014.5646575342466</v>
      </c>
      <c r="AZ413" s="13">
        <v>0</v>
      </c>
      <c r="BA413" s="13"/>
      <c r="BB413" s="13"/>
      <c r="BC413" s="13">
        <v>-682.83534246575346</v>
      </c>
      <c r="BD413" s="13"/>
      <c r="BE413" s="13" t="s">
        <v>114</v>
      </c>
      <c r="BF413" s="29"/>
      <c r="BG413" s="13"/>
      <c r="BH413" s="13">
        <f>-FAR[[#This Row],[Carrying value (opening balance)]]/FAR[[#This Row],[Opening RUL 30 June 2026]]</f>
        <v>-282.90000000000003</v>
      </c>
      <c r="BI413" s="13">
        <f>FAR[[#This Row],[Depreciation YTD]]/12</f>
        <v>-23.575000000000003</v>
      </c>
      <c r="BJ413" s="13"/>
      <c r="BK413" s="13" t="s">
        <v>116</v>
      </c>
      <c r="BL413" s="13">
        <v>0</v>
      </c>
      <c r="BM413" s="13">
        <f>FAR[[#This Row],[Accumulated depreciation (Opening balance)]]+FAR[[#This Row],[Depreciation YTD]]+FAR[[#This Row],[Derecognitions (acc dep) '[+']]]</f>
        <v>-965.73534246575355</v>
      </c>
      <c r="BN413" s="13"/>
      <c r="BO413" s="13"/>
      <c r="BP413" s="13"/>
      <c r="BQ413" s="13"/>
      <c r="BR41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13" s="13">
        <f>FAR[[#This Row],[Cost Price (closing balance)]]+FAR[[#This Row],[Accumulated depreciation (Closing balance)]]+FAR[[#This Row],[Accumulated impairments (Closing balance)]]</f>
        <v>731.66465753424654</v>
      </c>
      <c r="BT413" s="13">
        <f>FAR[[#This Row],[Accumulated depreciation (Opening balance)]]</f>
        <v>-682.83534246575346</v>
      </c>
      <c r="BU413" s="13"/>
      <c r="BV413" s="13"/>
      <c r="BW413" s="10"/>
      <c r="BX413" s="9"/>
      <c r="BY413" s="10"/>
      <c r="BZ413" t="s">
        <v>1036</v>
      </c>
      <c r="CA413"/>
      <c r="CB413" s="34"/>
      <c r="CC413" s="34"/>
      <c r="CD413" s="34"/>
      <c r="CE413" s="141">
        <f>FAR[[#This Row],[Additions capitalised (@actual cost)]]/FAR[[#This Row],[EUL]]</f>
        <v>0</v>
      </c>
    </row>
    <row r="414" spans="1:83">
      <c r="A414" s="35">
        <v>1620</v>
      </c>
      <c r="B414" s="9" t="s">
        <v>868</v>
      </c>
      <c r="C414" s="9" t="s">
        <v>54</v>
      </c>
      <c r="D414" s="10" t="s">
        <v>1</v>
      </c>
      <c r="E414" s="9" t="s">
        <v>115</v>
      </c>
      <c r="F414" s="36" t="s">
        <v>99</v>
      </c>
      <c r="G414" s="9" t="s">
        <v>100</v>
      </c>
      <c r="H414" s="3" t="s">
        <v>128</v>
      </c>
      <c r="I414" s="9" t="s">
        <v>100</v>
      </c>
      <c r="J414" s="36" t="s">
        <v>101</v>
      </c>
      <c r="K414" s="10" t="s">
        <v>559</v>
      </c>
      <c r="L414" s="10" t="s">
        <v>559</v>
      </c>
      <c r="M414" s="9" t="s">
        <v>100</v>
      </c>
      <c r="N414" s="10" t="s">
        <v>554</v>
      </c>
      <c r="O414" s="9" t="s">
        <v>100</v>
      </c>
      <c r="P414" s="10"/>
      <c r="Q414" s="10" t="s">
        <v>554</v>
      </c>
      <c r="R414" s="10" t="s">
        <v>119</v>
      </c>
      <c r="S414" s="10" t="s">
        <v>130</v>
      </c>
      <c r="T414" s="10" t="s">
        <v>120</v>
      </c>
      <c r="U414" s="10" t="s">
        <v>101</v>
      </c>
      <c r="V414" s="10" t="s">
        <v>121</v>
      </c>
      <c r="W414" s="10" t="s">
        <v>122</v>
      </c>
      <c r="X414" s="10" t="s">
        <v>123</v>
      </c>
      <c r="Y414" s="29">
        <v>1</v>
      </c>
      <c r="Z414" s="138" t="s">
        <v>599</v>
      </c>
      <c r="AA414" s="138">
        <v>44882</v>
      </c>
      <c r="AB414" s="9" t="s">
        <v>114</v>
      </c>
      <c r="AC414" s="9" t="s">
        <v>124</v>
      </c>
      <c r="AD414" s="15">
        <v>45016</v>
      </c>
      <c r="AE414" s="39" t="s">
        <v>125</v>
      </c>
      <c r="AF414" s="177">
        <v>6</v>
      </c>
      <c r="AG414" s="140">
        <v>0</v>
      </c>
      <c r="AH414" s="9">
        <v>0</v>
      </c>
      <c r="AI414" s="10" t="s">
        <v>126</v>
      </c>
      <c r="AJ414" s="10"/>
      <c r="AK414" s="29"/>
      <c r="AL414" s="12">
        <v>3.6328767123287671</v>
      </c>
      <c r="AM414" s="10">
        <v>0</v>
      </c>
      <c r="AN414" s="12">
        <f>FAR[[#This Row],[Opening RUL]]+FAR[[#This Row],[RUL Adjustment]]</f>
        <v>3.6328767123287671</v>
      </c>
      <c r="AO414" s="12">
        <f>FAR[[#This Row],[Opening RUL 30 June 2026]]-1</f>
        <v>2.6328767123287671</v>
      </c>
      <c r="AP414" s="12" t="s">
        <v>1050</v>
      </c>
      <c r="AQ414" s="139"/>
      <c r="AR414" s="10" t="s">
        <v>127</v>
      </c>
      <c r="AS414" s="226">
        <v>0</v>
      </c>
      <c r="AT414" s="13"/>
      <c r="AU414" s="13"/>
      <c r="AV414" s="13"/>
      <c r="AW414" s="13"/>
      <c r="AX414" s="226">
        <v>0</v>
      </c>
      <c r="AY414" s="226">
        <v>0</v>
      </c>
      <c r="AZ414" s="13">
        <v>0</v>
      </c>
      <c r="BA414" s="13"/>
      <c r="BB414" s="13"/>
      <c r="BC414" s="13">
        <v>0</v>
      </c>
      <c r="BD414" s="13"/>
      <c r="BE414" s="13" t="s">
        <v>114</v>
      </c>
      <c r="BF414" s="29"/>
      <c r="BG414" s="13"/>
      <c r="BH414" s="13">
        <f>-FAR[[#This Row],[Carrying value (opening balance)]]/FAR[[#This Row],[Opening RUL 30 June 2026]]</f>
        <v>0</v>
      </c>
      <c r="BI414" s="13">
        <f>FAR[[#This Row],[Depreciation YTD]]/12</f>
        <v>0</v>
      </c>
      <c r="BJ414" s="13"/>
      <c r="BK414" s="13" t="s">
        <v>116</v>
      </c>
      <c r="BL414" s="13">
        <v>0</v>
      </c>
      <c r="BM414" s="13">
        <f>FAR[[#This Row],[Accumulated depreciation (Opening balance)]]+FAR[[#This Row],[Depreciation YTD]]+FAR[[#This Row],[Derecognitions (acc dep) '[+']]]</f>
        <v>0</v>
      </c>
      <c r="BN414" s="13"/>
      <c r="BO414" s="13"/>
      <c r="BP414" s="13"/>
      <c r="BQ414" s="13"/>
      <c r="BR41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14" s="13">
        <f>FAR[[#This Row],[Cost Price (closing balance)]]+FAR[[#This Row],[Accumulated depreciation (Closing balance)]]+FAR[[#This Row],[Accumulated impairments (Closing balance)]]</f>
        <v>0</v>
      </c>
      <c r="BT414" s="13">
        <f>FAR[[#This Row],[Accumulated depreciation (Opening balance)]]</f>
        <v>0</v>
      </c>
      <c r="BU414" s="13"/>
      <c r="BV414" s="13"/>
      <c r="BW414" s="10"/>
      <c r="BX414" s="9"/>
      <c r="BY414" s="10"/>
      <c r="BZ414" t="s">
        <v>1042</v>
      </c>
      <c r="CA414"/>
      <c r="CB414" s="34"/>
      <c r="CC414" s="34"/>
      <c r="CD414" s="34"/>
      <c r="CE414" s="141">
        <f>FAR[[#This Row],[Additions capitalised (@actual cost)]]/FAR[[#This Row],[EUL]]</f>
        <v>0</v>
      </c>
    </row>
    <row r="415" spans="1:83">
      <c r="A415" s="35">
        <v>1621</v>
      </c>
      <c r="B415" s="9" t="s">
        <v>867</v>
      </c>
      <c r="C415" s="9" t="s">
        <v>54</v>
      </c>
      <c r="D415" s="10" t="s">
        <v>1</v>
      </c>
      <c r="E415" s="9" t="s">
        <v>115</v>
      </c>
      <c r="F415" s="36" t="s">
        <v>99</v>
      </c>
      <c r="G415" s="9" t="s">
        <v>100</v>
      </c>
      <c r="H415" s="3" t="s">
        <v>128</v>
      </c>
      <c r="I415" s="9" t="s">
        <v>100</v>
      </c>
      <c r="J415" s="36" t="s">
        <v>101</v>
      </c>
      <c r="K415" s="10" t="s">
        <v>559</v>
      </c>
      <c r="L415" s="10" t="s">
        <v>559</v>
      </c>
      <c r="M415" s="9" t="s">
        <v>100</v>
      </c>
      <c r="N415" s="10" t="s">
        <v>554</v>
      </c>
      <c r="O415" s="9" t="s">
        <v>100</v>
      </c>
      <c r="P415" s="10"/>
      <c r="Q415" s="10" t="s">
        <v>554</v>
      </c>
      <c r="R415" s="10" t="s">
        <v>119</v>
      </c>
      <c r="S415" s="10" t="s">
        <v>130</v>
      </c>
      <c r="T415" s="10" t="s">
        <v>120</v>
      </c>
      <c r="U415" s="10" t="s">
        <v>101</v>
      </c>
      <c r="V415" s="10" t="s">
        <v>121</v>
      </c>
      <c r="W415" s="10" t="s">
        <v>122</v>
      </c>
      <c r="X415" s="10" t="s">
        <v>123</v>
      </c>
      <c r="Y415" s="29">
        <v>1</v>
      </c>
      <c r="Z415" s="138" t="s">
        <v>598</v>
      </c>
      <c r="AA415" s="138">
        <v>44865</v>
      </c>
      <c r="AB415" s="9" t="s">
        <v>114</v>
      </c>
      <c r="AC415" s="9" t="s">
        <v>124</v>
      </c>
      <c r="AD415" s="15">
        <v>45016</v>
      </c>
      <c r="AE415" s="39" t="s">
        <v>125</v>
      </c>
      <c r="AF415" s="177">
        <v>6</v>
      </c>
      <c r="AG415" s="140">
        <v>0</v>
      </c>
      <c r="AH415" s="9">
        <v>0</v>
      </c>
      <c r="AI415" s="10" t="s">
        <v>126</v>
      </c>
      <c r="AJ415" s="10"/>
      <c r="AK415" s="29"/>
      <c r="AL415" s="12">
        <v>3.5863013698630137</v>
      </c>
      <c r="AM415" s="10">
        <v>0</v>
      </c>
      <c r="AN415" s="12">
        <f>FAR[[#This Row],[Opening RUL]]+FAR[[#This Row],[RUL Adjustment]]</f>
        <v>3.5863013698630137</v>
      </c>
      <c r="AO415" s="12">
        <f>FAR[[#This Row],[Opening RUL 30 June 2026]]-1</f>
        <v>2.5863013698630137</v>
      </c>
      <c r="AP415" s="12" t="s">
        <v>1050</v>
      </c>
      <c r="AQ415" s="139"/>
      <c r="AR415" s="10" t="s">
        <v>127</v>
      </c>
      <c r="AS415" s="13">
        <v>1697.4</v>
      </c>
      <c r="AT415" s="13"/>
      <c r="AU415" s="13"/>
      <c r="AV415" s="13"/>
      <c r="AW415" s="13"/>
      <c r="AX415" s="13">
        <v>1697.4</v>
      </c>
      <c r="AY415" s="13">
        <v>1014.5646575342466</v>
      </c>
      <c r="AZ415" s="13">
        <v>0</v>
      </c>
      <c r="BA415" s="13"/>
      <c r="BB415" s="13"/>
      <c r="BC415" s="13">
        <v>-682.83534246575346</v>
      </c>
      <c r="BD415" s="13"/>
      <c r="BE415" s="13" t="s">
        <v>114</v>
      </c>
      <c r="BF415" s="29"/>
      <c r="BG415" s="13"/>
      <c r="BH415" s="13">
        <f>-FAR[[#This Row],[Carrying value (opening balance)]]/FAR[[#This Row],[Opening RUL 30 June 2026]]</f>
        <v>-282.90000000000003</v>
      </c>
      <c r="BI415" s="13">
        <f>FAR[[#This Row],[Depreciation YTD]]/12</f>
        <v>-23.575000000000003</v>
      </c>
      <c r="BJ415" s="13"/>
      <c r="BK415" s="13" t="s">
        <v>116</v>
      </c>
      <c r="BL415" s="13">
        <v>0</v>
      </c>
      <c r="BM415" s="13">
        <f>FAR[[#This Row],[Accumulated depreciation (Opening balance)]]+FAR[[#This Row],[Depreciation YTD]]+FAR[[#This Row],[Derecognitions (acc dep) '[+']]]</f>
        <v>-965.73534246575355</v>
      </c>
      <c r="BN415" s="13"/>
      <c r="BO415" s="13"/>
      <c r="BP415" s="13"/>
      <c r="BQ415" s="13"/>
      <c r="BR41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15" s="13">
        <f>FAR[[#This Row],[Cost Price (closing balance)]]+FAR[[#This Row],[Accumulated depreciation (Closing balance)]]+FAR[[#This Row],[Accumulated impairments (Closing balance)]]</f>
        <v>731.66465753424654</v>
      </c>
      <c r="BT415" s="13">
        <f>FAR[[#This Row],[Accumulated depreciation (Opening balance)]]</f>
        <v>-682.83534246575346</v>
      </c>
      <c r="BU415" s="13"/>
      <c r="BV415" s="13"/>
      <c r="BW415" s="10"/>
      <c r="BX415" s="9"/>
      <c r="BY415" s="10"/>
      <c r="BZ415" t="s">
        <v>1037</v>
      </c>
      <c r="CA415"/>
      <c r="CB415" s="34"/>
      <c r="CC415" s="34"/>
      <c r="CD415" s="34"/>
      <c r="CE415" s="141">
        <f>FAR[[#This Row],[Additions capitalised (@actual cost)]]/FAR[[#This Row],[EUL]]</f>
        <v>0</v>
      </c>
    </row>
    <row r="416" spans="1:83">
      <c r="A416" s="35">
        <v>1622</v>
      </c>
      <c r="B416" s="9" t="s">
        <v>867</v>
      </c>
      <c r="C416" s="9" t="s">
        <v>54</v>
      </c>
      <c r="D416" s="10" t="s">
        <v>1</v>
      </c>
      <c r="E416" s="9" t="s">
        <v>115</v>
      </c>
      <c r="F416" s="36" t="s">
        <v>99</v>
      </c>
      <c r="G416" s="9" t="s">
        <v>100</v>
      </c>
      <c r="H416" s="3" t="s">
        <v>128</v>
      </c>
      <c r="I416" s="9" t="s">
        <v>100</v>
      </c>
      <c r="J416" s="36" t="s">
        <v>101</v>
      </c>
      <c r="K416" s="10" t="s">
        <v>559</v>
      </c>
      <c r="L416" s="10" t="s">
        <v>559</v>
      </c>
      <c r="M416" s="9" t="s">
        <v>100</v>
      </c>
      <c r="N416" s="10" t="s">
        <v>554</v>
      </c>
      <c r="O416" s="9" t="s">
        <v>100</v>
      </c>
      <c r="P416" s="10"/>
      <c r="Q416" s="10" t="s">
        <v>554</v>
      </c>
      <c r="R416" s="10" t="s">
        <v>119</v>
      </c>
      <c r="S416" s="10" t="s">
        <v>130</v>
      </c>
      <c r="T416" s="10" t="s">
        <v>120</v>
      </c>
      <c r="U416" s="10" t="s">
        <v>101</v>
      </c>
      <c r="V416" s="10" t="s">
        <v>121</v>
      </c>
      <c r="W416" s="10" t="s">
        <v>122</v>
      </c>
      <c r="X416" s="10" t="s">
        <v>123</v>
      </c>
      <c r="Y416" s="29">
        <v>1</v>
      </c>
      <c r="Z416" s="138" t="s">
        <v>598</v>
      </c>
      <c r="AA416" s="138">
        <v>44865</v>
      </c>
      <c r="AB416" s="9" t="s">
        <v>114</v>
      </c>
      <c r="AC416" s="9" t="s">
        <v>124</v>
      </c>
      <c r="AD416" s="15">
        <v>45016</v>
      </c>
      <c r="AE416" s="39" t="s">
        <v>125</v>
      </c>
      <c r="AF416" s="177">
        <v>6</v>
      </c>
      <c r="AG416" s="140">
        <v>0</v>
      </c>
      <c r="AH416" s="9">
        <v>0</v>
      </c>
      <c r="AI416" s="10" t="s">
        <v>126</v>
      </c>
      <c r="AJ416" s="10"/>
      <c r="AK416" s="29"/>
      <c r="AL416" s="12">
        <v>3.5863013698630137</v>
      </c>
      <c r="AM416" s="10">
        <v>0</v>
      </c>
      <c r="AN416" s="12">
        <f>FAR[[#This Row],[Opening RUL]]+FAR[[#This Row],[RUL Adjustment]]</f>
        <v>3.5863013698630137</v>
      </c>
      <c r="AO416" s="12">
        <f>FAR[[#This Row],[Opening RUL 30 June 2026]]-1</f>
        <v>2.5863013698630137</v>
      </c>
      <c r="AP416" s="12" t="s">
        <v>1050</v>
      </c>
      <c r="AQ416" s="139"/>
      <c r="AR416" s="10" t="s">
        <v>127</v>
      </c>
      <c r="AS416" s="13">
        <v>1697.4</v>
      </c>
      <c r="AT416" s="13"/>
      <c r="AU416" s="13"/>
      <c r="AV416" s="13"/>
      <c r="AW416" s="13"/>
      <c r="AX416" s="13">
        <v>1697.4</v>
      </c>
      <c r="AY416" s="13">
        <v>1014.5646575342466</v>
      </c>
      <c r="AZ416" s="13">
        <v>0</v>
      </c>
      <c r="BA416" s="13"/>
      <c r="BB416" s="13"/>
      <c r="BC416" s="13">
        <v>-682.83534246575346</v>
      </c>
      <c r="BD416" s="13"/>
      <c r="BE416" s="13" t="s">
        <v>114</v>
      </c>
      <c r="BF416" s="29"/>
      <c r="BG416" s="13"/>
      <c r="BH416" s="13">
        <f>-FAR[[#This Row],[Carrying value (opening balance)]]/FAR[[#This Row],[Opening RUL 30 June 2026]]</f>
        <v>-282.90000000000003</v>
      </c>
      <c r="BI416" s="13">
        <f>FAR[[#This Row],[Depreciation YTD]]/12</f>
        <v>-23.575000000000003</v>
      </c>
      <c r="BJ416" s="13"/>
      <c r="BK416" s="13" t="s">
        <v>116</v>
      </c>
      <c r="BL416" s="13">
        <v>0</v>
      </c>
      <c r="BM416" s="13">
        <f>FAR[[#This Row],[Accumulated depreciation (Opening balance)]]+FAR[[#This Row],[Depreciation YTD]]+FAR[[#This Row],[Derecognitions (acc dep) '[+']]]</f>
        <v>-965.73534246575355</v>
      </c>
      <c r="BN416" s="13"/>
      <c r="BO416" s="13"/>
      <c r="BP416" s="13"/>
      <c r="BQ416" s="13"/>
      <c r="BR41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16" s="13">
        <f>FAR[[#This Row],[Cost Price (closing balance)]]+FAR[[#This Row],[Accumulated depreciation (Closing balance)]]+FAR[[#This Row],[Accumulated impairments (Closing balance)]]</f>
        <v>731.66465753424654</v>
      </c>
      <c r="BT416" s="13">
        <f>FAR[[#This Row],[Accumulated depreciation (Opening balance)]]</f>
        <v>-682.83534246575346</v>
      </c>
      <c r="BU416" s="13"/>
      <c r="BV416" s="13"/>
      <c r="BW416" s="10"/>
      <c r="BX416" s="9"/>
      <c r="BY416" s="10"/>
      <c r="BZ416" t="s">
        <v>1026</v>
      </c>
      <c r="CA416"/>
      <c r="CB416" s="34"/>
      <c r="CC416" s="34"/>
      <c r="CD416" s="34"/>
      <c r="CE416" s="141">
        <f>FAR[[#This Row],[Additions capitalised (@actual cost)]]/FAR[[#This Row],[EUL]]</f>
        <v>0</v>
      </c>
    </row>
    <row r="417" spans="1:83">
      <c r="A417" s="35">
        <v>11623</v>
      </c>
      <c r="B417" s="9" t="s">
        <v>887</v>
      </c>
      <c r="C417" s="9" t="s">
        <v>54</v>
      </c>
      <c r="D417" s="10" t="s">
        <v>1</v>
      </c>
      <c r="E417" s="9" t="s">
        <v>115</v>
      </c>
      <c r="F417" s="36" t="s">
        <v>99</v>
      </c>
      <c r="G417" s="9" t="s">
        <v>100</v>
      </c>
      <c r="H417" s="3" t="s">
        <v>128</v>
      </c>
      <c r="I417" s="9" t="s">
        <v>100</v>
      </c>
      <c r="J417" s="36" t="s">
        <v>101</v>
      </c>
      <c r="K417" s="10" t="s">
        <v>559</v>
      </c>
      <c r="L417" s="10" t="s">
        <v>559</v>
      </c>
      <c r="M417" s="9" t="s">
        <v>100</v>
      </c>
      <c r="N417" s="10" t="s">
        <v>554</v>
      </c>
      <c r="O417" s="9" t="s">
        <v>100</v>
      </c>
      <c r="P417" s="10"/>
      <c r="Q417" s="10" t="s">
        <v>554</v>
      </c>
      <c r="R417" s="10" t="s">
        <v>119</v>
      </c>
      <c r="S417" s="10" t="s">
        <v>130</v>
      </c>
      <c r="T417" s="10" t="s">
        <v>120</v>
      </c>
      <c r="U417" s="10" t="s">
        <v>101</v>
      </c>
      <c r="V417" s="10" t="s">
        <v>121</v>
      </c>
      <c r="W417" s="10" t="s">
        <v>122</v>
      </c>
      <c r="X417" s="10" t="s">
        <v>123</v>
      </c>
      <c r="Y417" s="29">
        <v>1</v>
      </c>
      <c r="Z417" s="138" t="s">
        <v>598</v>
      </c>
      <c r="AA417" s="138">
        <v>44865</v>
      </c>
      <c r="AB417" s="9" t="s">
        <v>114</v>
      </c>
      <c r="AC417" s="9" t="s">
        <v>124</v>
      </c>
      <c r="AD417" s="15">
        <v>45016</v>
      </c>
      <c r="AE417" s="39" t="s">
        <v>125</v>
      </c>
      <c r="AF417" s="177">
        <v>6</v>
      </c>
      <c r="AG417" s="140">
        <v>0</v>
      </c>
      <c r="AH417" s="9">
        <v>0</v>
      </c>
      <c r="AI417" s="10" t="s">
        <v>126</v>
      </c>
      <c r="AJ417" s="10"/>
      <c r="AK417" s="29"/>
      <c r="AL417" s="12">
        <v>3.5863013698630137</v>
      </c>
      <c r="AM417" s="10">
        <v>0</v>
      </c>
      <c r="AN417" s="12">
        <f>FAR[[#This Row],[Opening RUL]]+FAR[[#This Row],[RUL Adjustment]]</f>
        <v>3.5863013698630137</v>
      </c>
      <c r="AO417" s="12">
        <f>FAR[[#This Row],[Opening RUL 30 June 2026]]-1</f>
        <v>2.5863013698630137</v>
      </c>
      <c r="AP417" s="12" t="s">
        <v>1051</v>
      </c>
      <c r="AQ417" s="139"/>
      <c r="AR417" s="10" t="s">
        <v>127</v>
      </c>
      <c r="AS417" s="13">
        <v>1697.4</v>
      </c>
      <c r="AT417" s="13"/>
      <c r="AU417" s="13"/>
      <c r="AV417" s="13"/>
      <c r="AW417" s="13"/>
      <c r="AX417" s="13">
        <v>1697.4</v>
      </c>
      <c r="AY417" s="13">
        <v>1014.5646575342466</v>
      </c>
      <c r="AZ417" s="13">
        <v>0</v>
      </c>
      <c r="BA417" s="13"/>
      <c r="BB417" s="13"/>
      <c r="BC417" s="13">
        <v>-682.83534246575346</v>
      </c>
      <c r="BD417" s="13"/>
      <c r="BE417" s="13" t="s">
        <v>114</v>
      </c>
      <c r="BF417" s="29"/>
      <c r="BG417" s="13"/>
      <c r="BH417" s="13">
        <f>-FAR[[#This Row],[Carrying value (opening balance)]]/FAR[[#This Row],[Opening RUL 30 June 2026]]</f>
        <v>-282.90000000000003</v>
      </c>
      <c r="BI417" s="13">
        <f>FAR[[#This Row],[Depreciation YTD]]/12</f>
        <v>-23.575000000000003</v>
      </c>
      <c r="BJ417" s="13"/>
      <c r="BK417" s="13" t="s">
        <v>116</v>
      </c>
      <c r="BL417" s="13">
        <v>0</v>
      </c>
      <c r="BM417" s="13">
        <f>FAR[[#This Row],[Accumulated depreciation (Opening balance)]]+FAR[[#This Row],[Depreciation YTD]]+FAR[[#This Row],[Derecognitions (acc dep) '[+']]]</f>
        <v>-965.73534246575355</v>
      </c>
      <c r="BN417" s="13"/>
      <c r="BO417" s="13"/>
      <c r="BP417" s="13"/>
      <c r="BQ417" s="13"/>
      <c r="BR41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17" s="13">
        <f>FAR[[#This Row],[Cost Price (closing balance)]]+FAR[[#This Row],[Accumulated depreciation (Closing balance)]]+FAR[[#This Row],[Accumulated impairments (Closing balance)]]</f>
        <v>731.66465753424654</v>
      </c>
      <c r="BT417" s="13">
        <f>FAR[[#This Row],[Accumulated depreciation (Opening balance)]]</f>
        <v>-682.83534246575346</v>
      </c>
      <c r="BU417" s="13"/>
      <c r="BV417" s="13"/>
      <c r="BW417" s="10"/>
      <c r="BX417" s="9"/>
      <c r="BY417" s="10"/>
      <c r="BZ417" t="s">
        <v>1032</v>
      </c>
      <c r="CA417"/>
      <c r="CB417" s="34"/>
      <c r="CC417" s="34"/>
      <c r="CD417" s="34"/>
      <c r="CE417" s="141">
        <f>FAR[[#This Row],[Additions capitalised (@actual cost)]]/FAR[[#This Row],[EUL]]</f>
        <v>0</v>
      </c>
    </row>
    <row r="418" spans="1:83">
      <c r="A418" s="35">
        <v>1623</v>
      </c>
      <c r="B418" s="9" t="s">
        <v>877</v>
      </c>
      <c r="C418" s="9" t="s">
        <v>54</v>
      </c>
      <c r="D418" s="10" t="s">
        <v>1</v>
      </c>
      <c r="E418" s="9" t="s">
        <v>115</v>
      </c>
      <c r="F418" s="36" t="s">
        <v>99</v>
      </c>
      <c r="G418" s="9" t="s">
        <v>100</v>
      </c>
      <c r="H418" s="3" t="s">
        <v>128</v>
      </c>
      <c r="I418" s="9" t="s">
        <v>100</v>
      </c>
      <c r="J418" s="36" t="s">
        <v>101</v>
      </c>
      <c r="K418" s="10" t="s">
        <v>559</v>
      </c>
      <c r="L418" s="10" t="s">
        <v>559</v>
      </c>
      <c r="M418" s="9" t="s">
        <v>100</v>
      </c>
      <c r="N418" s="10" t="s">
        <v>554</v>
      </c>
      <c r="O418" s="9" t="s">
        <v>100</v>
      </c>
      <c r="P418" s="10"/>
      <c r="Q418" s="10" t="s">
        <v>554</v>
      </c>
      <c r="R418" s="10" t="s">
        <v>119</v>
      </c>
      <c r="S418" s="10" t="s">
        <v>130</v>
      </c>
      <c r="T418" s="10" t="s">
        <v>120</v>
      </c>
      <c r="U418" s="10" t="s">
        <v>101</v>
      </c>
      <c r="V418" s="10" t="s">
        <v>121</v>
      </c>
      <c r="W418" s="10" t="s">
        <v>122</v>
      </c>
      <c r="X418" s="10" t="s">
        <v>123</v>
      </c>
      <c r="Y418" s="29">
        <v>1</v>
      </c>
      <c r="Z418" s="138" t="s">
        <v>598</v>
      </c>
      <c r="AA418" s="138">
        <v>44865</v>
      </c>
      <c r="AB418" s="9" t="s">
        <v>114</v>
      </c>
      <c r="AC418" s="9" t="s">
        <v>124</v>
      </c>
      <c r="AD418" s="15">
        <v>45016</v>
      </c>
      <c r="AE418" s="39" t="s">
        <v>125</v>
      </c>
      <c r="AF418" s="177">
        <v>6</v>
      </c>
      <c r="AG418" s="140">
        <v>0</v>
      </c>
      <c r="AH418" s="9">
        <v>0</v>
      </c>
      <c r="AI418" s="10" t="s">
        <v>126</v>
      </c>
      <c r="AJ418" s="10"/>
      <c r="AK418" s="29"/>
      <c r="AL418" s="12">
        <v>3.5863013698630137</v>
      </c>
      <c r="AM418" s="10">
        <v>0</v>
      </c>
      <c r="AN418" s="12">
        <f>FAR[[#This Row],[Opening RUL]]+FAR[[#This Row],[RUL Adjustment]]</f>
        <v>3.5863013698630137</v>
      </c>
      <c r="AO418" s="12">
        <f>FAR[[#This Row],[Opening RUL 30 June 2026]]-1</f>
        <v>2.5863013698630137</v>
      </c>
      <c r="AP418" s="12" t="s">
        <v>1050</v>
      </c>
      <c r="AQ418" s="139"/>
      <c r="AR418" s="10" t="s">
        <v>127</v>
      </c>
      <c r="AS418" s="13">
        <v>1697.4</v>
      </c>
      <c r="AT418" s="13"/>
      <c r="AU418" s="13"/>
      <c r="AV418" s="13"/>
      <c r="AW418" s="13"/>
      <c r="AX418" s="13">
        <v>1697.4</v>
      </c>
      <c r="AY418" s="13">
        <v>1014.5646575342466</v>
      </c>
      <c r="AZ418" s="13">
        <v>0</v>
      </c>
      <c r="BA418" s="13"/>
      <c r="BB418" s="13"/>
      <c r="BC418" s="13">
        <v>-682.83534246575346</v>
      </c>
      <c r="BD418" s="13"/>
      <c r="BE418" s="13" t="s">
        <v>114</v>
      </c>
      <c r="BF418" s="29"/>
      <c r="BG418" s="13"/>
      <c r="BH418" s="13">
        <f>-FAR[[#This Row],[Carrying value (opening balance)]]/FAR[[#This Row],[Opening RUL 30 June 2026]]</f>
        <v>-282.90000000000003</v>
      </c>
      <c r="BI418" s="13">
        <f>FAR[[#This Row],[Depreciation YTD]]/12</f>
        <v>-23.575000000000003</v>
      </c>
      <c r="BJ418" s="13"/>
      <c r="BK418" s="13" t="s">
        <v>116</v>
      </c>
      <c r="BL418" s="13">
        <v>0</v>
      </c>
      <c r="BM418" s="13">
        <f>FAR[[#This Row],[Accumulated depreciation (Opening balance)]]+FAR[[#This Row],[Depreciation YTD]]+FAR[[#This Row],[Derecognitions (acc dep) '[+']]]</f>
        <v>-965.73534246575355</v>
      </c>
      <c r="BN418" s="13"/>
      <c r="BO418" s="13"/>
      <c r="BP418" s="13"/>
      <c r="BQ418" s="13"/>
      <c r="BR41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18" s="13">
        <f>FAR[[#This Row],[Cost Price (closing balance)]]+FAR[[#This Row],[Accumulated depreciation (Closing balance)]]+FAR[[#This Row],[Accumulated impairments (Closing balance)]]</f>
        <v>731.66465753424654</v>
      </c>
      <c r="BT418" s="13">
        <f>FAR[[#This Row],[Accumulated depreciation (Opening balance)]]</f>
        <v>-682.83534246575346</v>
      </c>
      <c r="BU418" s="13"/>
      <c r="BV418" s="13"/>
      <c r="BW418" s="10"/>
      <c r="BX418" s="9"/>
      <c r="BY418" s="10"/>
      <c r="BZ418" t="s">
        <v>1041</v>
      </c>
      <c r="CA418"/>
      <c r="CB418" s="34"/>
      <c r="CC418" s="34"/>
      <c r="CD418" s="34"/>
      <c r="CE418" s="141">
        <f>FAR[[#This Row],[Additions capitalised (@actual cost)]]/FAR[[#This Row],[EUL]]</f>
        <v>0</v>
      </c>
    </row>
    <row r="419" spans="1:83">
      <c r="A419" s="35">
        <v>1624</v>
      </c>
      <c r="B419" s="9" t="s">
        <v>872</v>
      </c>
      <c r="C419" s="9" t="s">
        <v>54</v>
      </c>
      <c r="D419" s="10" t="s">
        <v>1</v>
      </c>
      <c r="E419" s="9" t="s">
        <v>115</v>
      </c>
      <c r="F419" s="36" t="s">
        <v>99</v>
      </c>
      <c r="G419" s="9" t="s">
        <v>100</v>
      </c>
      <c r="H419" s="3" t="s">
        <v>128</v>
      </c>
      <c r="I419" s="9" t="s">
        <v>100</v>
      </c>
      <c r="J419" s="36" t="s">
        <v>101</v>
      </c>
      <c r="K419" s="10" t="s">
        <v>559</v>
      </c>
      <c r="L419" s="10" t="s">
        <v>559</v>
      </c>
      <c r="M419" s="9" t="s">
        <v>100</v>
      </c>
      <c r="N419" s="10" t="s">
        <v>554</v>
      </c>
      <c r="O419" s="9" t="s">
        <v>100</v>
      </c>
      <c r="P419" s="10"/>
      <c r="Q419" s="10" t="s">
        <v>554</v>
      </c>
      <c r="R419" s="10" t="s">
        <v>119</v>
      </c>
      <c r="S419" s="10" t="s">
        <v>130</v>
      </c>
      <c r="T419" s="10" t="s">
        <v>120</v>
      </c>
      <c r="U419" s="10" t="s">
        <v>101</v>
      </c>
      <c r="V419" s="10" t="s">
        <v>121</v>
      </c>
      <c r="W419" s="10" t="s">
        <v>122</v>
      </c>
      <c r="X419" s="10" t="s">
        <v>123</v>
      </c>
      <c r="Y419" s="29">
        <v>1</v>
      </c>
      <c r="Z419" s="138" t="s">
        <v>598</v>
      </c>
      <c r="AA419" s="138">
        <v>44865</v>
      </c>
      <c r="AB419" s="9" t="s">
        <v>114</v>
      </c>
      <c r="AC419" s="9" t="s">
        <v>124</v>
      </c>
      <c r="AD419" s="15">
        <v>45016</v>
      </c>
      <c r="AE419" s="39" t="s">
        <v>125</v>
      </c>
      <c r="AF419" s="177">
        <v>6</v>
      </c>
      <c r="AG419" s="140">
        <v>0</v>
      </c>
      <c r="AH419" s="9">
        <v>0</v>
      </c>
      <c r="AI419" s="10" t="s">
        <v>126</v>
      </c>
      <c r="AJ419" s="10"/>
      <c r="AK419" s="29"/>
      <c r="AL419" s="12">
        <v>3.5863013698630137</v>
      </c>
      <c r="AM419" s="10">
        <v>0</v>
      </c>
      <c r="AN419" s="12">
        <f>FAR[[#This Row],[Opening RUL]]+FAR[[#This Row],[RUL Adjustment]]</f>
        <v>3.5863013698630137</v>
      </c>
      <c r="AO419" s="12">
        <f>FAR[[#This Row],[Opening RUL 30 June 2026]]-1</f>
        <v>2.5863013698630137</v>
      </c>
      <c r="AP419" s="12" t="s">
        <v>1050</v>
      </c>
      <c r="AQ419" s="139"/>
      <c r="AR419" s="10" t="s">
        <v>127</v>
      </c>
      <c r="AS419" s="13">
        <v>1697.4</v>
      </c>
      <c r="AT419" s="13"/>
      <c r="AU419" s="13"/>
      <c r="AV419" s="13"/>
      <c r="AW419" s="13"/>
      <c r="AX419" s="13">
        <v>1697.4</v>
      </c>
      <c r="AY419" s="13">
        <v>1014.5646575342466</v>
      </c>
      <c r="AZ419" s="13">
        <v>0</v>
      </c>
      <c r="BA419" s="13"/>
      <c r="BB419" s="13"/>
      <c r="BC419" s="13">
        <v>-682.83534246575346</v>
      </c>
      <c r="BD419" s="13"/>
      <c r="BE419" s="13" t="s">
        <v>114</v>
      </c>
      <c r="BF419" s="29"/>
      <c r="BG419" s="13"/>
      <c r="BH419" s="13">
        <f>-FAR[[#This Row],[Carrying value (opening balance)]]/FAR[[#This Row],[Opening RUL 30 June 2026]]</f>
        <v>-282.90000000000003</v>
      </c>
      <c r="BI419" s="13">
        <f>FAR[[#This Row],[Depreciation YTD]]/12</f>
        <v>-23.575000000000003</v>
      </c>
      <c r="BJ419" s="13"/>
      <c r="BK419" s="13" t="s">
        <v>116</v>
      </c>
      <c r="BL419" s="13">
        <v>0</v>
      </c>
      <c r="BM419" s="13">
        <f>FAR[[#This Row],[Accumulated depreciation (Opening balance)]]+FAR[[#This Row],[Depreciation YTD]]+FAR[[#This Row],[Derecognitions (acc dep) '[+']]]</f>
        <v>-965.73534246575355</v>
      </c>
      <c r="BN419" s="13"/>
      <c r="BO419" s="13"/>
      <c r="BP419" s="13"/>
      <c r="BQ419" s="13"/>
      <c r="BR41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19" s="13">
        <f>FAR[[#This Row],[Cost Price (closing balance)]]+FAR[[#This Row],[Accumulated depreciation (Closing balance)]]+FAR[[#This Row],[Accumulated impairments (Closing balance)]]</f>
        <v>731.66465753424654</v>
      </c>
      <c r="BT419" s="13">
        <f>FAR[[#This Row],[Accumulated depreciation (Opening balance)]]</f>
        <v>-682.83534246575346</v>
      </c>
      <c r="BU419" s="13"/>
      <c r="BV419" s="13"/>
      <c r="BW419" s="10"/>
      <c r="BX419" s="9"/>
      <c r="BY419" s="10"/>
      <c r="BZ419" t="s">
        <v>956</v>
      </c>
      <c r="CA419"/>
      <c r="CB419" s="34"/>
      <c r="CC419" s="34"/>
      <c r="CD419" s="34"/>
      <c r="CE419" s="141">
        <f>FAR[[#This Row],[Additions capitalised (@actual cost)]]/FAR[[#This Row],[EUL]]</f>
        <v>0</v>
      </c>
    </row>
    <row r="420" spans="1:83">
      <c r="A420" s="35">
        <v>1625</v>
      </c>
      <c r="B420" s="9" t="s">
        <v>867</v>
      </c>
      <c r="C420" s="9" t="s">
        <v>54</v>
      </c>
      <c r="D420" s="10" t="s">
        <v>1</v>
      </c>
      <c r="E420" s="9" t="s">
        <v>115</v>
      </c>
      <c r="F420" s="36" t="s">
        <v>99</v>
      </c>
      <c r="G420" s="9" t="s">
        <v>100</v>
      </c>
      <c r="H420" s="3" t="s">
        <v>128</v>
      </c>
      <c r="I420" s="9" t="s">
        <v>100</v>
      </c>
      <c r="J420" s="36" t="s">
        <v>101</v>
      </c>
      <c r="K420" s="10" t="s">
        <v>559</v>
      </c>
      <c r="L420" s="10" t="s">
        <v>559</v>
      </c>
      <c r="M420" s="9" t="s">
        <v>100</v>
      </c>
      <c r="N420" s="10" t="s">
        <v>554</v>
      </c>
      <c r="O420" s="9" t="s">
        <v>100</v>
      </c>
      <c r="P420" s="10"/>
      <c r="Q420" s="10" t="s">
        <v>554</v>
      </c>
      <c r="R420" s="10" t="s">
        <v>119</v>
      </c>
      <c r="S420" s="10" t="s">
        <v>130</v>
      </c>
      <c r="T420" s="10" t="s">
        <v>120</v>
      </c>
      <c r="U420" s="10" t="s">
        <v>101</v>
      </c>
      <c r="V420" s="10" t="s">
        <v>121</v>
      </c>
      <c r="W420" s="10" t="s">
        <v>122</v>
      </c>
      <c r="X420" s="10" t="s">
        <v>123</v>
      </c>
      <c r="Y420" s="29">
        <v>1</v>
      </c>
      <c r="Z420" s="138" t="s">
        <v>598</v>
      </c>
      <c r="AA420" s="138">
        <v>44865</v>
      </c>
      <c r="AB420" s="9" t="s">
        <v>114</v>
      </c>
      <c r="AC420" s="9" t="s">
        <v>124</v>
      </c>
      <c r="AD420" s="15">
        <v>45016</v>
      </c>
      <c r="AE420" s="39" t="s">
        <v>125</v>
      </c>
      <c r="AF420" s="177">
        <v>6</v>
      </c>
      <c r="AG420" s="140">
        <v>0</v>
      </c>
      <c r="AH420" s="9">
        <v>0</v>
      </c>
      <c r="AI420" s="10" t="s">
        <v>126</v>
      </c>
      <c r="AJ420" s="10"/>
      <c r="AK420" s="29"/>
      <c r="AL420" s="12">
        <v>3.5863013698630137</v>
      </c>
      <c r="AM420" s="10">
        <v>0</v>
      </c>
      <c r="AN420" s="12">
        <f>FAR[[#This Row],[Opening RUL]]+FAR[[#This Row],[RUL Adjustment]]</f>
        <v>3.5863013698630137</v>
      </c>
      <c r="AO420" s="12">
        <f>FAR[[#This Row],[Opening RUL 30 June 2026]]-1</f>
        <v>2.5863013698630137</v>
      </c>
      <c r="AP420" s="12" t="s">
        <v>1050</v>
      </c>
      <c r="AQ420" s="139"/>
      <c r="AR420" s="10" t="s">
        <v>127</v>
      </c>
      <c r="AS420" s="13">
        <v>1697.4</v>
      </c>
      <c r="AT420" s="13"/>
      <c r="AU420" s="13"/>
      <c r="AV420" s="13"/>
      <c r="AW420" s="13"/>
      <c r="AX420" s="13">
        <v>1697.4</v>
      </c>
      <c r="AY420" s="13">
        <v>1014.5646575342466</v>
      </c>
      <c r="AZ420" s="13">
        <v>0</v>
      </c>
      <c r="BA420" s="13"/>
      <c r="BB420" s="13"/>
      <c r="BC420" s="13">
        <v>-682.83534246575346</v>
      </c>
      <c r="BD420" s="13"/>
      <c r="BE420" s="13" t="s">
        <v>114</v>
      </c>
      <c r="BF420" s="29"/>
      <c r="BG420" s="13"/>
      <c r="BH420" s="13">
        <f>-FAR[[#This Row],[Carrying value (opening balance)]]/FAR[[#This Row],[Opening RUL 30 June 2026]]</f>
        <v>-282.90000000000003</v>
      </c>
      <c r="BI420" s="13">
        <f>FAR[[#This Row],[Depreciation YTD]]/12</f>
        <v>-23.575000000000003</v>
      </c>
      <c r="BJ420" s="13"/>
      <c r="BK420" s="13" t="s">
        <v>116</v>
      </c>
      <c r="BL420" s="13">
        <v>0</v>
      </c>
      <c r="BM420" s="13">
        <f>FAR[[#This Row],[Accumulated depreciation (Opening balance)]]+FAR[[#This Row],[Depreciation YTD]]+FAR[[#This Row],[Derecognitions (acc dep) '[+']]]</f>
        <v>-965.73534246575355</v>
      </c>
      <c r="BN420" s="13"/>
      <c r="BO420" s="13"/>
      <c r="BP420" s="13"/>
      <c r="BQ420" s="13"/>
      <c r="BR42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20" s="13">
        <f>FAR[[#This Row],[Cost Price (closing balance)]]+FAR[[#This Row],[Accumulated depreciation (Closing balance)]]+FAR[[#This Row],[Accumulated impairments (Closing balance)]]</f>
        <v>731.66465753424654</v>
      </c>
      <c r="BT420" s="13">
        <f>FAR[[#This Row],[Accumulated depreciation (Opening balance)]]</f>
        <v>-682.83534246575346</v>
      </c>
      <c r="BU420" s="13"/>
      <c r="BV420" s="13"/>
      <c r="BW420" s="10"/>
      <c r="BX420" s="9"/>
      <c r="BY420" s="10"/>
      <c r="BZ420" t="s">
        <v>1037</v>
      </c>
      <c r="CA420"/>
      <c r="CB420" s="34"/>
      <c r="CC420" s="34"/>
      <c r="CD420" s="34"/>
      <c r="CE420" s="141">
        <f>FAR[[#This Row],[Additions capitalised (@actual cost)]]/FAR[[#This Row],[EUL]]</f>
        <v>0</v>
      </c>
    </row>
    <row r="421" spans="1:83">
      <c r="A421" s="35">
        <v>1626</v>
      </c>
      <c r="B421" s="9" t="s">
        <v>901</v>
      </c>
      <c r="C421" s="9" t="s">
        <v>54</v>
      </c>
      <c r="D421" s="10" t="s">
        <v>1</v>
      </c>
      <c r="E421" s="9" t="s">
        <v>115</v>
      </c>
      <c r="F421" s="36" t="s">
        <v>99</v>
      </c>
      <c r="G421" s="9" t="s">
        <v>100</v>
      </c>
      <c r="H421" s="3" t="s">
        <v>128</v>
      </c>
      <c r="I421" s="9" t="s">
        <v>100</v>
      </c>
      <c r="J421" s="36" t="s">
        <v>101</v>
      </c>
      <c r="K421" s="10" t="s">
        <v>559</v>
      </c>
      <c r="L421" s="10" t="s">
        <v>559</v>
      </c>
      <c r="M421" s="9" t="s">
        <v>100</v>
      </c>
      <c r="N421" s="10" t="s">
        <v>554</v>
      </c>
      <c r="O421" s="9" t="s">
        <v>100</v>
      </c>
      <c r="P421" s="10"/>
      <c r="Q421" s="10" t="s">
        <v>554</v>
      </c>
      <c r="R421" s="10" t="s">
        <v>119</v>
      </c>
      <c r="S421" s="10" t="s">
        <v>130</v>
      </c>
      <c r="T421" s="10" t="s">
        <v>120</v>
      </c>
      <c r="U421" s="10" t="s">
        <v>101</v>
      </c>
      <c r="V421" s="10" t="s">
        <v>121</v>
      </c>
      <c r="W421" s="10" t="s">
        <v>122</v>
      </c>
      <c r="X421" s="10" t="s">
        <v>123</v>
      </c>
      <c r="Y421" s="29">
        <v>1</v>
      </c>
      <c r="Z421" s="138" t="s">
        <v>598</v>
      </c>
      <c r="AA421" s="138">
        <v>44865</v>
      </c>
      <c r="AB421" s="9" t="s">
        <v>114</v>
      </c>
      <c r="AC421" s="9" t="s">
        <v>124</v>
      </c>
      <c r="AD421" s="15">
        <v>45016</v>
      </c>
      <c r="AE421" s="39" t="s">
        <v>125</v>
      </c>
      <c r="AF421" s="177">
        <v>6</v>
      </c>
      <c r="AG421" s="140">
        <v>0</v>
      </c>
      <c r="AH421" s="9">
        <v>0</v>
      </c>
      <c r="AI421" s="10" t="s">
        <v>126</v>
      </c>
      <c r="AJ421" s="10"/>
      <c r="AK421" s="29"/>
      <c r="AL421" s="12">
        <v>3.5863013698630137</v>
      </c>
      <c r="AM421" s="10">
        <v>0</v>
      </c>
      <c r="AN421" s="12">
        <f>FAR[[#This Row],[Opening RUL]]+FAR[[#This Row],[RUL Adjustment]]</f>
        <v>3.5863013698630137</v>
      </c>
      <c r="AO421" s="12">
        <f>FAR[[#This Row],[Opening RUL 30 June 2026]]-1</f>
        <v>2.5863013698630137</v>
      </c>
      <c r="AP421" s="12" t="s">
        <v>1050</v>
      </c>
      <c r="AQ421" s="139"/>
      <c r="AR421" s="10" t="s">
        <v>127</v>
      </c>
      <c r="AS421" s="13">
        <v>1697.4</v>
      </c>
      <c r="AT421" s="13"/>
      <c r="AU421" s="13"/>
      <c r="AV421" s="13"/>
      <c r="AW421" s="13"/>
      <c r="AX421" s="13">
        <v>1697.4</v>
      </c>
      <c r="AY421" s="13">
        <v>1014.5646575342466</v>
      </c>
      <c r="AZ421" s="13">
        <v>0</v>
      </c>
      <c r="BA421" s="13"/>
      <c r="BB421" s="13"/>
      <c r="BC421" s="13">
        <v>-682.83534246575346</v>
      </c>
      <c r="BD421" s="13"/>
      <c r="BE421" s="13" t="s">
        <v>114</v>
      </c>
      <c r="BF421" s="29"/>
      <c r="BG421" s="13"/>
      <c r="BH421" s="13">
        <f>-FAR[[#This Row],[Carrying value (opening balance)]]/FAR[[#This Row],[Opening RUL 30 June 2026]]</f>
        <v>-282.90000000000003</v>
      </c>
      <c r="BI421" s="13">
        <f>FAR[[#This Row],[Depreciation YTD]]/12</f>
        <v>-23.575000000000003</v>
      </c>
      <c r="BJ421" s="13"/>
      <c r="BK421" s="13" t="s">
        <v>116</v>
      </c>
      <c r="BL421" s="13">
        <v>0</v>
      </c>
      <c r="BM421" s="13">
        <f>FAR[[#This Row],[Accumulated depreciation (Opening balance)]]+FAR[[#This Row],[Depreciation YTD]]+FAR[[#This Row],[Derecognitions (acc dep) '[+']]]</f>
        <v>-965.73534246575355</v>
      </c>
      <c r="BN421" s="13"/>
      <c r="BO421" s="13"/>
      <c r="BP421" s="13"/>
      <c r="BQ421" s="13"/>
      <c r="BR42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21" s="13">
        <f>FAR[[#This Row],[Cost Price (closing balance)]]+FAR[[#This Row],[Accumulated depreciation (Closing balance)]]+FAR[[#This Row],[Accumulated impairments (Closing balance)]]</f>
        <v>731.66465753424654</v>
      </c>
      <c r="BT421" s="13">
        <f>FAR[[#This Row],[Accumulated depreciation (Opening balance)]]</f>
        <v>-682.83534246575346</v>
      </c>
      <c r="BU421" s="13"/>
      <c r="BV421" s="13"/>
      <c r="BW421" s="10"/>
      <c r="BX421" s="9"/>
      <c r="BY421" s="10"/>
      <c r="BZ421" t="s">
        <v>1018</v>
      </c>
      <c r="CA421"/>
      <c r="CB421" s="34"/>
      <c r="CC421" s="34"/>
      <c r="CD421" s="34"/>
      <c r="CE421" s="141">
        <f>FAR[[#This Row],[Additions capitalised (@actual cost)]]/FAR[[#This Row],[EUL]]</f>
        <v>0</v>
      </c>
    </row>
    <row r="422" spans="1:83">
      <c r="A422" s="35">
        <v>1627</v>
      </c>
      <c r="B422" s="9" t="s">
        <v>859</v>
      </c>
      <c r="C422" s="9" t="s">
        <v>54</v>
      </c>
      <c r="D422" s="10" t="s">
        <v>1</v>
      </c>
      <c r="E422" s="9" t="s">
        <v>115</v>
      </c>
      <c r="F422" s="36" t="s">
        <v>99</v>
      </c>
      <c r="G422" s="9" t="s">
        <v>100</v>
      </c>
      <c r="H422" s="3" t="s">
        <v>128</v>
      </c>
      <c r="I422" s="9" t="s">
        <v>100</v>
      </c>
      <c r="J422" s="36" t="s">
        <v>101</v>
      </c>
      <c r="K422" s="10" t="s">
        <v>559</v>
      </c>
      <c r="L422" s="10" t="s">
        <v>559</v>
      </c>
      <c r="M422" s="9" t="s">
        <v>100</v>
      </c>
      <c r="N422" s="10" t="s">
        <v>554</v>
      </c>
      <c r="O422" s="9" t="s">
        <v>100</v>
      </c>
      <c r="P422" s="10"/>
      <c r="Q422" s="10" t="s">
        <v>554</v>
      </c>
      <c r="R422" s="10" t="s">
        <v>119</v>
      </c>
      <c r="S422" s="10" t="s">
        <v>130</v>
      </c>
      <c r="T422" s="10" t="s">
        <v>120</v>
      </c>
      <c r="U422" s="10" t="s">
        <v>101</v>
      </c>
      <c r="V422" s="10" t="s">
        <v>121</v>
      </c>
      <c r="W422" s="10" t="s">
        <v>122</v>
      </c>
      <c r="X422" s="10" t="s">
        <v>123</v>
      </c>
      <c r="Y422" s="29">
        <v>1</v>
      </c>
      <c r="Z422" s="138" t="s">
        <v>598</v>
      </c>
      <c r="AA422" s="138">
        <v>44865</v>
      </c>
      <c r="AB422" s="9" t="s">
        <v>114</v>
      </c>
      <c r="AC422" s="9" t="s">
        <v>124</v>
      </c>
      <c r="AD422" s="15">
        <v>45016</v>
      </c>
      <c r="AE422" s="39" t="s">
        <v>125</v>
      </c>
      <c r="AF422" s="177">
        <v>6</v>
      </c>
      <c r="AG422" s="140">
        <v>0</v>
      </c>
      <c r="AH422" s="9">
        <v>0</v>
      </c>
      <c r="AI422" s="10" t="s">
        <v>126</v>
      </c>
      <c r="AJ422" s="10"/>
      <c r="AK422" s="29"/>
      <c r="AL422" s="12">
        <v>3.5863013698630137</v>
      </c>
      <c r="AM422" s="10">
        <v>0</v>
      </c>
      <c r="AN422" s="12">
        <f>FAR[[#This Row],[Opening RUL]]+FAR[[#This Row],[RUL Adjustment]]</f>
        <v>3.5863013698630137</v>
      </c>
      <c r="AO422" s="12">
        <f>FAR[[#This Row],[Opening RUL 30 June 2026]]-1</f>
        <v>2.5863013698630137</v>
      </c>
      <c r="AP422" s="12" t="s">
        <v>1050</v>
      </c>
      <c r="AQ422" s="139"/>
      <c r="AR422" s="10" t="s">
        <v>127</v>
      </c>
      <c r="AS422" s="13">
        <v>1697.4</v>
      </c>
      <c r="AT422" s="13"/>
      <c r="AU422" s="13"/>
      <c r="AV422" s="13"/>
      <c r="AW422" s="13"/>
      <c r="AX422" s="13">
        <v>1697.4</v>
      </c>
      <c r="AY422" s="13">
        <v>1014.5646575342466</v>
      </c>
      <c r="AZ422" s="13">
        <v>0</v>
      </c>
      <c r="BA422" s="13"/>
      <c r="BB422" s="13"/>
      <c r="BC422" s="13">
        <v>-682.83534246575346</v>
      </c>
      <c r="BD422" s="13"/>
      <c r="BE422" s="13" t="s">
        <v>114</v>
      </c>
      <c r="BF422" s="29"/>
      <c r="BG422" s="13"/>
      <c r="BH422" s="13">
        <f>-FAR[[#This Row],[Carrying value (opening balance)]]/FAR[[#This Row],[Opening RUL 30 June 2026]]</f>
        <v>-282.90000000000003</v>
      </c>
      <c r="BI422" s="13">
        <f>FAR[[#This Row],[Depreciation YTD]]/12</f>
        <v>-23.575000000000003</v>
      </c>
      <c r="BJ422" s="13"/>
      <c r="BK422" s="13" t="s">
        <v>116</v>
      </c>
      <c r="BL422" s="13">
        <v>0</v>
      </c>
      <c r="BM422" s="13">
        <f>FAR[[#This Row],[Accumulated depreciation (Opening balance)]]+FAR[[#This Row],[Depreciation YTD]]+FAR[[#This Row],[Derecognitions (acc dep) '[+']]]</f>
        <v>-965.73534246575355</v>
      </c>
      <c r="BN422" s="13"/>
      <c r="BO422" s="13"/>
      <c r="BP422" s="13"/>
      <c r="BQ422" s="13"/>
      <c r="BR42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22" s="13">
        <f>FAR[[#This Row],[Cost Price (closing balance)]]+FAR[[#This Row],[Accumulated depreciation (Closing balance)]]+FAR[[#This Row],[Accumulated impairments (Closing balance)]]</f>
        <v>731.66465753424654</v>
      </c>
      <c r="BT422" s="13">
        <f>FAR[[#This Row],[Accumulated depreciation (Opening balance)]]</f>
        <v>-682.83534246575346</v>
      </c>
      <c r="BU422" s="13"/>
      <c r="BV422" s="13"/>
      <c r="BW422" s="10"/>
      <c r="BX422" s="9"/>
      <c r="BY422" s="10"/>
      <c r="BZ422" t="s">
        <v>1021</v>
      </c>
      <c r="CA422"/>
      <c r="CB422" s="34"/>
      <c r="CC422" s="34"/>
      <c r="CD422" s="34"/>
      <c r="CE422" s="141">
        <f>FAR[[#This Row],[Additions capitalised (@actual cost)]]/FAR[[#This Row],[EUL]]</f>
        <v>0</v>
      </c>
    </row>
    <row r="423" spans="1:83">
      <c r="A423" s="35">
        <v>1628</v>
      </c>
      <c r="B423" s="9" t="s">
        <v>877</v>
      </c>
      <c r="C423" s="9" t="s">
        <v>54</v>
      </c>
      <c r="D423" s="10" t="s">
        <v>1</v>
      </c>
      <c r="E423" s="9" t="s">
        <v>115</v>
      </c>
      <c r="F423" s="36" t="s">
        <v>99</v>
      </c>
      <c r="G423" s="9" t="s">
        <v>100</v>
      </c>
      <c r="H423" s="3" t="s">
        <v>128</v>
      </c>
      <c r="I423" s="9" t="s">
        <v>100</v>
      </c>
      <c r="J423" s="36" t="s">
        <v>101</v>
      </c>
      <c r="K423" s="10" t="s">
        <v>559</v>
      </c>
      <c r="L423" s="10" t="s">
        <v>559</v>
      </c>
      <c r="M423" s="9" t="s">
        <v>100</v>
      </c>
      <c r="N423" s="10" t="s">
        <v>555</v>
      </c>
      <c r="O423" s="9" t="s">
        <v>100</v>
      </c>
      <c r="P423" s="10"/>
      <c r="Q423" s="10" t="s">
        <v>555</v>
      </c>
      <c r="R423" s="10" t="s">
        <v>119</v>
      </c>
      <c r="S423" s="10" t="s">
        <v>130</v>
      </c>
      <c r="T423" s="10" t="s">
        <v>120</v>
      </c>
      <c r="U423" s="10" t="s">
        <v>101</v>
      </c>
      <c r="V423" s="10" t="s">
        <v>121</v>
      </c>
      <c r="W423" s="10" t="s">
        <v>122</v>
      </c>
      <c r="X423" s="10" t="s">
        <v>123</v>
      </c>
      <c r="Y423" s="29">
        <v>1</v>
      </c>
      <c r="Z423" s="138" t="s">
        <v>598</v>
      </c>
      <c r="AA423" s="138">
        <v>44865</v>
      </c>
      <c r="AB423" s="9" t="s">
        <v>114</v>
      </c>
      <c r="AC423" s="9" t="s">
        <v>124</v>
      </c>
      <c r="AD423" s="15">
        <v>45016</v>
      </c>
      <c r="AE423" s="39" t="s">
        <v>125</v>
      </c>
      <c r="AF423" s="177">
        <v>6</v>
      </c>
      <c r="AG423" s="140">
        <v>0</v>
      </c>
      <c r="AH423" s="9">
        <v>0</v>
      </c>
      <c r="AI423" s="10" t="s">
        <v>126</v>
      </c>
      <c r="AJ423" s="10"/>
      <c r="AK423" s="29"/>
      <c r="AL423" s="12">
        <v>3.5863013698630137</v>
      </c>
      <c r="AM423" s="10">
        <v>0</v>
      </c>
      <c r="AN423" s="12">
        <f>FAR[[#This Row],[Opening RUL]]+FAR[[#This Row],[RUL Adjustment]]</f>
        <v>3.5863013698630137</v>
      </c>
      <c r="AO423" s="12">
        <f>FAR[[#This Row],[Opening RUL 30 June 2026]]-1</f>
        <v>2.5863013698630137</v>
      </c>
      <c r="AP423" s="12" t="s">
        <v>1050</v>
      </c>
      <c r="AQ423" s="139"/>
      <c r="AR423" s="10" t="s">
        <v>127</v>
      </c>
      <c r="AS423" s="13">
        <v>3749</v>
      </c>
      <c r="AT423" s="13"/>
      <c r="AU423" s="13"/>
      <c r="AV423" s="13"/>
      <c r="AW423" s="13"/>
      <c r="AX423" s="13">
        <v>3749</v>
      </c>
      <c r="AY423" s="13">
        <v>2240.8406392694064</v>
      </c>
      <c r="AZ423" s="13">
        <v>0</v>
      </c>
      <c r="BA423" s="13"/>
      <c r="BB423" s="13"/>
      <c r="BC423" s="13">
        <v>-1508.1593607305936</v>
      </c>
      <c r="BD423" s="13"/>
      <c r="BE423" s="13" t="s">
        <v>114</v>
      </c>
      <c r="BF423" s="29"/>
      <c r="BG423" s="13"/>
      <c r="BH423" s="13">
        <f>-FAR[[#This Row],[Carrying value (opening balance)]]/FAR[[#This Row],[Opening RUL 30 June 2026]]</f>
        <v>-624.83333333333337</v>
      </c>
      <c r="BI423" s="13">
        <f>FAR[[#This Row],[Depreciation YTD]]/12</f>
        <v>-52.06944444444445</v>
      </c>
      <c r="BJ423" s="13"/>
      <c r="BK423" s="13" t="s">
        <v>116</v>
      </c>
      <c r="BL423" s="13">
        <v>0</v>
      </c>
      <c r="BM423" s="13">
        <f>FAR[[#This Row],[Accumulated depreciation (Opening balance)]]+FAR[[#This Row],[Depreciation YTD]]+FAR[[#This Row],[Derecognitions (acc dep) '[+']]]</f>
        <v>-2132.992694063927</v>
      </c>
      <c r="BN423" s="13"/>
      <c r="BO423" s="13"/>
      <c r="BP423" s="13"/>
      <c r="BQ423" s="13"/>
      <c r="BR42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23" s="13">
        <f>FAR[[#This Row],[Cost Price (closing balance)]]+FAR[[#This Row],[Accumulated depreciation (Closing balance)]]+FAR[[#This Row],[Accumulated impairments (Closing balance)]]</f>
        <v>1616.007305936073</v>
      </c>
      <c r="BT423" s="13">
        <f>FAR[[#This Row],[Accumulated depreciation (Opening balance)]]</f>
        <v>-1508.1593607305936</v>
      </c>
      <c r="BU423" s="13"/>
      <c r="BV423" s="13"/>
      <c r="BW423" s="10"/>
      <c r="BX423" s="9"/>
      <c r="BY423" s="10"/>
      <c r="BZ423" t="s">
        <v>1016</v>
      </c>
      <c r="CA423"/>
      <c r="CB423" s="34"/>
      <c r="CC423" s="34"/>
      <c r="CD423" s="34"/>
      <c r="CE423" s="141">
        <f>FAR[[#This Row],[Additions capitalised (@actual cost)]]/FAR[[#This Row],[EUL]]</f>
        <v>0</v>
      </c>
    </row>
    <row r="424" spans="1:83">
      <c r="A424" s="35">
        <v>1630</v>
      </c>
      <c r="B424" s="9" t="s">
        <v>877</v>
      </c>
      <c r="C424" s="9" t="s">
        <v>54</v>
      </c>
      <c r="D424" s="10" t="s">
        <v>1</v>
      </c>
      <c r="E424" s="9" t="s">
        <v>115</v>
      </c>
      <c r="F424" s="36" t="s">
        <v>99</v>
      </c>
      <c r="G424" s="9" t="s">
        <v>100</v>
      </c>
      <c r="H424" s="3" t="s">
        <v>128</v>
      </c>
      <c r="I424" s="9" t="s">
        <v>100</v>
      </c>
      <c r="J424" s="36" t="s">
        <v>101</v>
      </c>
      <c r="K424" s="10" t="s">
        <v>559</v>
      </c>
      <c r="L424" s="10" t="s">
        <v>559</v>
      </c>
      <c r="M424" s="9" t="s">
        <v>100</v>
      </c>
      <c r="N424" s="10" t="s">
        <v>555</v>
      </c>
      <c r="O424" s="9" t="s">
        <v>100</v>
      </c>
      <c r="P424" s="10"/>
      <c r="Q424" s="10" t="s">
        <v>555</v>
      </c>
      <c r="R424" s="10" t="s">
        <v>119</v>
      </c>
      <c r="S424" s="10" t="s">
        <v>130</v>
      </c>
      <c r="T424" s="10" t="s">
        <v>120</v>
      </c>
      <c r="U424" s="10" t="s">
        <v>101</v>
      </c>
      <c r="V424" s="10" t="s">
        <v>121</v>
      </c>
      <c r="W424" s="10" t="s">
        <v>122</v>
      </c>
      <c r="X424" s="10" t="s">
        <v>123</v>
      </c>
      <c r="Y424" s="29">
        <v>1</v>
      </c>
      <c r="Z424" s="138" t="s">
        <v>598</v>
      </c>
      <c r="AA424" s="138">
        <v>44865</v>
      </c>
      <c r="AB424" s="9" t="s">
        <v>114</v>
      </c>
      <c r="AC424" s="9" t="s">
        <v>124</v>
      </c>
      <c r="AD424" s="15">
        <v>45016</v>
      </c>
      <c r="AE424" s="39" t="s">
        <v>125</v>
      </c>
      <c r="AF424" s="177">
        <v>6</v>
      </c>
      <c r="AG424" s="140">
        <v>0</v>
      </c>
      <c r="AH424" s="9">
        <v>0</v>
      </c>
      <c r="AI424" s="10" t="s">
        <v>126</v>
      </c>
      <c r="AJ424" s="10"/>
      <c r="AK424" s="29"/>
      <c r="AL424" s="12">
        <v>3.5863013698630137</v>
      </c>
      <c r="AM424" s="10">
        <v>0</v>
      </c>
      <c r="AN424" s="12">
        <f>FAR[[#This Row],[Opening RUL]]+FAR[[#This Row],[RUL Adjustment]]</f>
        <v>3.5863013698630137</v>
      </c>
      <c r="AO424" s="12">
        <f>FAR[[#This Row],[Opening RUL 30 June 2026]]-1</f>
        <v>2.5863013698630137</v>
      </c>
      <c r="AP424" s="12" t="s">
        <v>1050</v>
      </c>
      <c r="AQ424" s="139"/>
      <c r="AR424" s="10" t="s">
        <v>127</v>
      </c>
      <c r="AS424" s="13">
        <v>3749</v>
      </c>
      <c r="AT424" s="13"/>
      <c r="AU424" s="13"/>
      <c r="AV424" s="13"/>
      <c r="AW424" s="13"/>
      <c r="AX424" s="13">
        <v>3749</v>
      </c>
      <c r="AY424" s="13">
        <v>2240.8406392694064</v>
      </c>
      <c r="AZ424" s="13">
        <v>0</v>
      </c>
      <c r="BA424" s="13"/>
      <c r="BB424" s="13"/>
      <c r="BC424" s="13">
        <v>-1508.1593607305936</v>
      </c>
      <c r="BD424" s="13"/>
      <c r="BE424" s="13" t="s">
        <v>114</v>
      </c>
      <c r="BF424" s="29"/>
      <c r="BG424" s="13"/>
      <c r="BH424" s="13">
        <f>-FAR[[#This Row],[Carrying value (opening balance)]]/FAR[[#This Row],[Opening RUL 30 June 2026]]</f>
        <v>-624.83333333333337</v>
      </c>
      <c r="BI424" s="13">
        <f>FAR[[#This Row],[Depreciation YTD]]/12</f>
        <v>-52.06944444444445</v>
      </c>
      <c r="BJ424" s="13"/>
      <c r="BK424" s="13" t="s">
        <v>116</v>
      </c>
      <c r="BL424" s="13">
        <v>0</v>
      </c>
      <c r="BM424" s="13">
        <f>FAR[[#This Row],[Accumulated depreciation (Opening balance)]]+FAR[[#This Row],[Depreciation YTD]]+FAR[[#This Row],[Derecognitions (acc dep) '[+']]]</f>
        <v>-2132.992694063927</v>
      </c>
      <c r="BN424" s="13"/>
      <c r="BO424" s="13"/>
      <c r="BP424" s="13"/>
      <c r="BQ424" s="13"/>
      <c r="BR42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24" s="13">
        <f>FAR[[#This Row],[Cost Price (closing balance)]]+FAR[[#This Row],[Accumulated depreciation (Closing balance)]]+FAR[[#This Row],[Accumulated impairments (Closing balance)]]</f>
        <v>1616.007305936073</v>
      </c>
      <c r="BT424" s="13">
        <f>FAR[[#This Row],[Accumulated depreciation (Opening balance)]]</f>
        <v>-1508.1593607305936</v>
      </c>
      <c r="BU424" s="13"/>
      <c r="BV424" s="13"/>
      <c r="BW424" s="10"/>
      <c r="BX424" s="9"/>
      <c r="BY424" s="10"/>
      <c r="BZ424" t="s">
        <v>1040</v>
      </c>
      <c r="CA424"/>
      <c r="CB424" s="34"/>
      <c r="CC424" s="34"/>
      <c r="CD424" s="34"/>
      <c r="CE424" s="141">
        <f>FAR[[#This Row],[Additions capitalised (@actual cost)]]/FAR[[#This Row],[EUL]]</f>
        <v>0</v>
      </c>
    </row>
    <row r="425" spans="1:83">
      <c r="A425" s="35">
        <v>1631</v>
      </c>
      <c r="B425" s="9" t="s">
        <v>877</v>
      </c>
      <c r="C425" s="9" t="s">
        <v>54</v>
      </c>
      <c r="D425" s="10" t="s">
        <v>1</v>
      </c>
      <c r="E425" s="9" t="s">
        <v>115</v>
      </c>
      <c r="F425" s="36" t="s">
        <v>99</v>
      </c>
      <c r="G425" s="9" t="s">
        <v>100</v>
      </c>
      <c r="H425" s="3" t="s">
        <v>128</v>
      </c>
      <c r="I425" s="9" t="s">
        <v>100</v>
      </c>
      <c r="J425" s="36" t="s">
        <v>101</v>
      </c>
      <c r="K425" s="10" t="s">
        <v>559</v>
      </c>
      <c r="L425" s="10" t="s">
        <v>559</v>
      </c>
      <c r="M425" s="9" t="s">
        <v>100</v>
      </c>
      <c r="N425" s="10" t="s">
        <v>555</v>
      </c>
      <c r="O425" s="9" t="s">
        <v>100</v>
      </c>
      <c r="P425" s="10"/>
      <c r="Q425" s="10" t="s">
        <v>555</v>
      </c>
      <c r="R425" s="10" t="s">
        <v>119</v>
      </c>
      <c r="S425" s="10" t="s">
        <v>130</v>
      </c>
      <c r="T425" s="10" t="s">
        <v>120</v>
      </c>
      <c r="U425" s="10" t="s">
        <v>101</v>
      </c>
      <c r="V425" s="10" t="s">
        <v>121</v>
      </c>
      <c r="W425" s="10" t="s">
        <v>122</v>
      </c>
      <c r="X425" s="10" t="s">
        <v>123</v>
      </c>
      <c r="Y425" s="29">
        <v>1</v>
      </c>
      <c r="Z425" s="138" t="s">
        <v>598</v>
      </c>
      <c r="AA425" s="138">
        <v>44865</v>
      </c>
      <c r="AB425" s="9" t="s">
        <v>114</v>
      </c>
      <c r="AC425" s="9" t="s">
        <v>124</v>
      </c>
      <c r="AD425" s="15">
        <v>45016</v>
      </c>
      <c r="AE425" s="39" t="s">
        <v>125</v>
      </c>
      <c r="AF425" s="177">
        <v>6</v>
      </c>
      <c r="AG425" s="140">
        <v>0</v>
      </c>
      <c r="AH425" s="9">
        <v>0</v>
      </c>
      <c r="AI425" s="10" t="s">
        <v>126</v>
      </c>
      <c r="AJ425" s="10"/>
      <c r="AK425" s="29"/>
      <c r="AL425" s="12">
        <v>3.5863013698630137</v>
      </c>
      <c r="AM425" s="10">
        <v>0</v>
      </c>
      <c r="AN425" s="12">
        <f>FAR[[#This Row],[Opening RUL]]+FAR[[#This Row],[RUL Adjustment]]</f>
        <v>3.5863013698630137</v>
      </c>
      <c r="AO425" s="12">
        <f>FAR[[#This Row],[Opening RUL 30 June 2026]]-1</f>
        <v>2.5863013698630137</v>
      </c>
      <c r="AP425" s="12" t="s">
        <v>1050</v>
      </c>
      <c r="AQ425" s="139"/>
      <c r="AR425" s="10" t="s">
        <v>127</v>
      </c>
      <c r="AS425" s="13">
        <v>3749</v>
      </c>
      <c r="AT425" s="13"/>
      <c r="AU425" s="13"/>
      <c r="AV425" s="13"/>
      <c r="AW425" s="13"/>
      <c r="AX425" s="13">
        <v>3749</v>
      </c>
      <c r="AY425" s="13">
        <v>2240.8406392694064</v>
      </c>
      <c r="AZ425" s="13">
        <v>0</v>
      </c>
      <c r="BA425" s="13"/>
      <c r="BB425" s="13"/>
      <c r="BC425" s="13">
        <v>-1508.1593607305936</v>
      </c>
      <c r="BD425" s="13"/>
      <c r="BE425" s="13" t="s">
        <v>114</v>
      </c>
      <c r="BF425" s="29"/>
      <c r="BG425" s="13"/>
      <c r="BH425" s="13">
        <f>-FAR[[#This Row],[Carrying value (opening balance)]]/FAR[[#This Row],[Opening RUL 30 June 2026]]</f>
        <v>-624.83333333333337</v>
      </c>
      <c r="BI425" s="13">
        <f>FAR[[#This Row],[Depreciation YTD]]/12</f>
        <v>-52.06944444444445</v>
      </c>
      <c r="BJ425" s="13"/>
      <c r="BK425" s="13" t="s">
        <v>116</v>
      </c>
      <c r="BL425" s="13">
        <v>0</v>
      </c>
      <c r="BM425" s="13">
        <f>FAR[[#This Row],[Accumulated depreciation (Opening balance)]]+FAR[[#This Row],[Depreciation YTD]]+FAR[[#This Row],[Derecognitions (acc dep) '[+']]]</f>
        <v>-2132.992694063927</v>
      </c>
      <c r="BN425" s="13"/>
      <c r="BO425" s="13"/>
      <c r="BP425" s="13"/>
      <c r="BQ425" s="13"/>
      <c r="BR42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25" s="13">
        <f>FAR[[#This Row],[Cost Price (closing balance)]]+FAR[[#This Row],[Accumulated depreciation (Closing balance)]]+FAR[[#This Row],[Accumulated impairments (Closing balance)]]</f>
        <v>1616.007305936073</v>
      </c>
      <c r="BT425" s="13">
        <f>FAR[[#This Row],[Accumulated depreciation (Opening balance)]]</f>
        <v>-1508.1593607305936</v>
      </c>
      <c r="BU425" s="13"/>
      <c r="BV425" s="13"/>
      <c r="BW425" s="10"/>
      <c r="BX425" s="9"/>
      <c r="BY425" s="10"/>
      <c r="BZ425" t="s">
        <v>1041</v>
      </c>
      <c r="CA425"/>
      <c r="CB425" s="34"/>
      <c r="CC425" s="34"/>
      <c r="CD425" s="34"/>
      <c r="CE425" s="141">
        <f>FAR[[#This Row],[Additions capitalised (@actual cost)]]/FAR[[#This Row],[EUL]]</f>
        <v>0</v>
      </c>
    </row>
    <row r="426" spans="1:83">
      <c r="A426" s="35">
        <v>1632</v>
      </c>
      <c r="B426" s="9" t="s">
        <v>867</v>
      </c>
      <c r="C426" s="9" t="s">
        <v>54</v>
      </c>
      <c r="D426" s="10" t="s">
        <v>1</v>
      </c>
      <c r="E426" s="9" t="s">
        <v>115</v>
      </c>
      <c r="F426" s="36" t="s">
        <v>99</v>
      </c>
      <c r="G426" s="9" t="s">
        <v>100</v>
      </c>
      <c r="H426" s="3" t="s">
        <v>128</v>
      </c>
      <c r="I426" s="9" t="s">
        <v>100</v>
      </c>
      <c r="J426" s="36" t="s">
        <v>101</v>
      </c>
      <c r="K426" s="10" t="s">
        <v>559</v>
      </c>
      <c r="L426" s="10" t="s">
        <v>559</v>
      </c>
      <c r="M426" s="9" t="s">
        <v>100</v>
      </c>
      <c r="N426" s="10" t="s">
        <v>555</v>
      </c>
      <c r="O426" s="9" t="s">
        <v>100</v>
      </c>
      <c r="P426" s="10"/>
      <c r="Q426" s="10" t="s">
        <v>555</v>
      </c>
      <c r="R426" s="10" t="s">
        <v>119</v>
      </c>
      <c r="S426" s="10" t="s">
        <v>130</v>
      </c>
      <c r="T426" s="10" t="s">
        <v>120</v>
      </c>
      <c r="U426" s="10" t="s">
        <v>101</v>
      </c>
      <c r="V426" s="10" t="s">
        <v>121</v>
      </c>
      <c r="W426" s="10" t="s">
        <v>122</v>
      </c>
      <c r="X426" s="10" t="s">
        <v>123</v>
      </c>
      <c r="Y426" s="29">
        <v>1</v>
      </c>
      <c r="Z426" s="138" t="s">
        <v>598</v>
      </c>
      <c r="AA426" s="138">
        <v>44865</v>
      </c>
      <c r="AB426" s="9" t="s">
        <v>114</v>
      </c>
      <c r="AC426" s="9" t="s">
        <v>124</v>
      </c>
      <c r="AD426" s="15">
        <v>45016</v>
      </c>
      <c r="AE426" s="39" t="s">
        <v>125</v>
      </c>
      <c r="AF426" s="177">
        <v>6</v>
      </c>
      <c r="AG426" s="140">
        <v>0</v>
      </c>
      <c r="AH426" s="9">
        <v>0</v>
      </c>
      <c r="AI426" s="10" t="s">
        <v>126</v>
      </c>
      <c r="AJ426" s="10"/>
      <c r="AK426" s="29"/>
      <c r="AL426" s="12">
        <v>3.5863013698630137</v>
      </c>
      <c r="AM426" s="10">
        <v>0</v>
      </c>
      <c r="AN426" s="12">
        <f>FAR[[#This Row],[Opening RUL]]+FAR[[#This Row],[RUL Adjustment]]</f>
        <v>3.5863013698630137</v>
      </c>
      <c r="AO426" s="12">
        <f>FAR[[#This Row],[Opening RUL 30 June 2026]]-1</f>
        <v>2.5863013698630137</v>
      </c>
      <c r="AP426" s="12" t="s">
        <v>1050</v>
      </c>
      <c r="AQ426" s="139"/>
      <c r="AR426" s="10" t="s">
        <v>127</v>
      </c>
      <c r="AS426" s="13">
        <v>3749</v>
      </c>
      <c r="AT426" s="13"/>
      <c r="AU426" s="13"/>
      <c r="AV426" s="13"/>
      <c r="AW426" s="13"/>
      <c r="AX426" s="13">
        <v>3749</v>
      </c>
      <c r="AY426" s="13">
        <v>2240.8406392694064</v>
      </c>
      <c r="AZ426" s="13">
        <v>0</v>
      </c>
      <c r="BA426" s="13"/>
      <c r="BB426" s="13"/>
      <c r="BC426" s="13">
        <v>-1508.1593607305936</v>
      </c>
      <c r="BD426" s="13"/>
      <c r="BE426" s="13" t="s">
        <v>114</v>
      </c>
      <c r="BF426" s="29"/>
      <c r="BG426" s="13"/>
      <c r="BH426" s="13">
        <f>-FAR[[#This Row],[Carrying value (opening balance)]]/FAR[[#This Row],[Opening RUL 30 June 2026]]</f>
        <v>-624.83333333333337</v>
      </c>
      <c r="BI426" s="13">
        <f>FAR[[#This Row],[Depreciation YTD]]/12</f>
        <v>-52.06944444444445</v>
      </c>
      <c r="BJ426" s="13"/>
      <c r="BK426" s="13" t="s">
        <v>116</v>
      </c>
      <c r="BL426" s="13">
        <v>0</v>
      </c>
      <c r="BM426" s="13">
        <f>FAR[[#This Row],[Accumulated depreciation (Opening balance)]]+FAR[[#This Row],[Depreciation YTD]]+FAR[[#This Row],[Derecognitions (acc dep) '[+']]]</f>
        <v>-2132.992694063927</v>
      </c>
      <c r="BN426" s="13"/>
      <c r="BO426" s="13"/>
      <c r="BP426" s="13"/>
      <c r="BQ426" s="13"/>
      <c r="BR42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26" s="13">
        <f>FAR[[#This Row],[Cost Price (closing balance)]]+FAR[[#This Row],[Accumulated depreciation (Closing balance)]]+FAR[[#This Row],[Accumulated impairments (Closing balance)]]</f>
        <v>1616.007305936073</v>
      </c>
      <c r="BT426" s="13">
        <f>FAR[[#This Row],[Accumulated depreciation (Opening balance)]]</f>
        <v>-1508.1593607305936</v>
      </c>
      <c r="BU426" s="13"/>
      <c r="BV426" s="13"/>
      <c r="BW426" s="10"/>
      <c r="BX426" s="9"/>
      <c r="BY426" s="10"/>
      <c r="BZ426" t="s">
        <v>1005</v>
      </c>
      <c r="CA426"/>
      <c r="CB426" s="34"/>
      <c r="CC426" s="34"/>
      <c r="CD426" s="34"/>
      <c r="CE426" s="141">
        <f>FAR[[#This Row],[Additions capitalised (@actual cost)]]/FAR[[#This Row],[EUL]]</f>
        <v>0</v>
      </c>
    </row>
    <row r="427" spans="1:83">
      <c r="A427" s="35">
        <v>1633</v>
      </c>
      <c r="B427" s="9" t="s">
        <v>867</v>
      </c>
      <c r="C427" s="9" t="s">
        <v>54</v>
      </c>
      <c r="D427" s="10" t="s">
        <v>1</v>
      </c>
      <c r="E427" s="9" t="s">
        <v>115</v>
      </c>
      <c r="F427" s="36" t="s">
        <v>99</v>
      </c>
      <c r="G427" s="9" t="s">
        <v>100</v>
      </c>
      <c r="H427" s="3" t="s">
        <v>128</v>
      </c>
      <c r="I427" s="9" t="s">
        <v>100</v>
      </c>
      <c r="J427" s="36" t="s">
        <v>101</v>
      </c>
      <c r="K427" s="10" t="s">
        <v>559</v>
      </c>
      <c r="L427" s="10" t="s">
        <v>559</v>
      </c>
      <c r="M427" s="9" t="s">
        <v>100</v>
      </c>
      <c r="N427" s="10" t="s">
        <v>555</v>
      </c>
      <c r="O427" s="9" t="s">
        <v>100</v>
      </c>
      <c r="P427" s="10"/>
      <c r="Q427" s="10" t="s">
        <v>555</v>
      </c>
      <c r="R427" s="10" t="s">
        <v>119</v>
      </c>
      <c r="S427" s="10" t="s">
        <v>130</v>
      </c>
      <c r="T427" s="10" t="s">
        <v>120</v>
      </c>
      <c r="U427" s="10" t="s">
        <v>101</v>
      </c>
      <c r="V427" s="10" t="s">
        <v>121</v>
      </c>
      <c r="W427" s="10" t="s">
        <v>122</v>
      </c>
      <c r="X427" s="10" t="s">
        <v>123</v>
      </c>
      <c r="Y427" s="29">
        <v>1</v>
      </c>
      <c r="Z427" s="138" t="s">
        <v>598</v>
      </c>
      <c r="AA427" s="138">
        <v>44865</v>
      </c>
      <c r="AB427" s="9" t="s">
        <v>114</v>
      </c>
      <c r="AC427" s="9" t="s">
        <v>124</v>
      </c>
      <c r="AD427" s="15">
        <v>45016</v>
      </c>
      <c r="AE427" s="39" t="s">
        <v>125</v>
      </c>
      <c r="AF427" s="177">
        <v>6</v>
      </c>
      <c r="AG427" s="140">
        <v>0</v>
      </c>
      <c r="AH427" s="9">
        <v>0</v>
      </c>
      <c r="AI427" s="10" t="s">
        <v>126</v>
      </c>
      <c r="AJ427" s="10"/>
      <c r="AK427" s="29"/>
      <c r="AL427" s="12">
        <v>3.5863013698630137</v>
      </c>
      <c r="AM427" s="10">
        <v>0</v>
      </c>
      <c r="AN427" s="12">
        <f>FAR[[#This Row],[Opening RUL]]+FAR[[#This Row],[RUL Adjustment]]</f>
        <v>3.5863013698630137</v>
      </c>
      <c r="AO427" s="12">
        <f>FAR[[#This Row],[Opening RUL 30 June 2026]]-1</f>
        <v>2.5863013698630137</v>
      </c>
      <c r="AP427" s="12" t="s">
        <v>1050</v>
      </c>
      <c r="AQ427" s="139"/>
      <c r="AR427" s="10" t="s">
        <v>127</v>
      </c>
      <c r="AS427" s="13">
        <v>3749</v>
      </c>
      <c r="AT427" s="13"/>
      <c r="AU427" s="13"/>
      <c r="AV427" s="13"/>
      <c r="AW427" s="13"/>
      <c r="AX427" s="13">
        <v>3749</v>
      </c>
      <c r="AY427" s="13">
        <v>2240.8406392694064</v>
      </c>
      <c r="AZ427" s="13">
        <v>0</v>
      </c>
      <c r="BA427" s="13"/>
      <c r="BB427" s="13"/>
      <c r="BC427" s="13">
        <v>-1508.1593607305936</v>
      </c>
      <c r="BD427" s="13"/>
      <c r="BE427" s="13" t="s">
        <v>114</v>
      </c>
      <c r="BF427" s="29"/>
      <c r="BG427" s="13"/>
      <c r="BH427" s="13">
        <f>-FAR[[#This Row],[Carrying value (opening balance)]]/FAR[[#This Row],[Opening RUL 30 June 2026]]</f>
        <v>-624.83333333333337</v>
      </c>
      <c r="BI427" s="13">
        <f>FAR[[#This Row],[Depreciation YTD]]/12</f>
        <v>-52.06944444444445</v>
      </c>
      <c r="BJ427" s="13"/>
      <c r="BK427" s="13" t="s">
        <v>116</v>
      </c>
      <c r="BL427" s="13">
        <v>0</v>
      </c>
      <c r="BM427" s="13">
        <f>FAR[[#This Row],[Accumulated depreciation (Opening balance)]]+FAR[[#This Row],[Depreciation YTD]]+FAR[[#This Row],[Derecognitions (acc dep) '[+']]]</f>
        <v>-2132.992694063927</v>
      </c>
      <c r="BN427" s="13"/>
      <c r="BO427" s="13"/>
      <c r="BP427" s="13"/>
      <c r="BQ427" s="13"/>
      <c r="BR42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27" s="13">
        <f>FAR[[#This Row],[Cost Price (closing balance)]]+FAR[[#This Row],[Accumulated depreciation (Closing balance)]]+FAR[[#This Row],[Accumulated impairments (Closing balance)]]</f>
        <v>1616.007305936073</v>
      </c>
      <c r="BT427" s="13">
        <f>FAR[[#This Row],[Accumulated depreciation (Opening balance)]]</f>
        <v>-1508.1593607305936</v>
      </c>
      <c r="BU427" s="13"/>
      <c r="BV427" s="13"/>
      <c r="BW427" s="10"/>
      <c r="BX427" s="9"/>
      <c r="BY427" s="10"/>
      <c r="BZ427" t="s">
        <v>1039</v>
      </c>
      <c r="CA427"/>
      <c r="CB427" s="34"/>
      <c r="CC427" s="34"/>
      <c r="CD427" s="34"/>
      <c r="CE427" s="141">
        <f>FAR[[#This Row],[Additions capitalised (@actual cost)]]/FAR[[#This Row],[EUL]]</f>
        <v>0</v>
      </c>
    </row>
    <row r="428" spans="1:83">
      <c r="A428" s="35">
        <v>1635</v>
      </c>
      <c r="B428" s="9" t="s">
        <v>872</v>
      </c>
      <c r="C428" s="9" t="s">
        <v>54</v>
      </c>
      <c r="D428" s="10" t="s">
        <v>1</v>
      </c>
      <c r="E428" s="9" t="s">
        <v>115</v>
      </c>
      <c r="F428" s="36" t="s">
        <v>99</v>
      </c>
      <c r="G428" s="9" t="s">
        <v>100</v>
      </c>
      <c r="H428" s="3" t="s">
        <v>128</v>
      </c>
      <c r="I428" s="9" t="s">
        <v>100</v>
      </c>
      <c r="J428" s="36" t="s">
        <v>101</v>
      </c>
      <c r="K428" s="10" t="s">
        <v>559</v>
      </c>
      <c r="L428" s="10" t="s">
        <v>559</v>
      </c>
      <c r="M428" s="9" t="s">
        <v>100</v>
      </c>
      <c r="N428" s="10" t="s">
        <v>555</v>
      </c>
      <c r="O428" s="9" t="s">
        <v>100</v>
      </c>
      <c r="P428" s="10"/>
      <c r="Q428" s="10" t="s">
        <v>555</v>
      </c>
      <c r="R428" s="10" t="s">
        <v>119</v>
      </c>
      <c r="S428" s="10" t="s">
        <v>130</v>
      </c>
      <c r="T428" s="10" t="s">
        <v>120</v>
      </c>
      <c r="U428" s="10" t="s">
        <v>101</v>
      </c>
      <c r="V428" s="10" t="s">
        <v>121</v>
      </c>
      <c r="W428" s="10" t="s">
        <v>122</v>
      </c>
      <c r="X428" s="10" t="s">
        <v>123</v>
      </c>
      <c r="Y428" s="29">
        <v>1</v>
      </c>
      <c r="Z428" s="138" t="s">
        <v>598</v>
      </c>
      <c r="AA428" s="138">
        <v>44865</v>
      </c>
      <c r="AB428" s="9" t="s">
        <v>114</v>
      </c>
      <c r="AC428" s="9" t="s">
        <v>124</v>
      </c>
      <c r="AD428" s="15">
        <v>45016</v>
      </c>
      <c r="AE428" s="39" t="s">
        <v>125</v>
      </c>
      <c r="AF428" s="177">
        <v>6</v>
      </c>
      <c r="AG428" s="140">
        <v>0</v>
      </c>
      <c r="AH428" s="9">
        <v>0</v>
      </c>
      <c r="AI428" s="10" t="s">
        <v>126</v>
      </c>
      <c r="AJ428" s="10"/>
      <c r="AK428" s="29"/>
      <c r="AL428" s="12">
        <v>3.5863013698630137</v>
      </c>
      <c r="AM428" s="10">
        <v>0</v>
      </c>
      <c r="AN428" s="12">
        <f>FAR[[#This Row],[Opening RUL]]+FAR[[#This Row],[RUL Adjustment]]</f>
        <v>3.5863013698630137</v>
      </c>
      <c r="AO428" s="12">
        <f>FAR[[#This Row],[Opening RUL 30 June 2026]]-1</f>
        <v>2.5863013698630137</v>
      </c>
      <c r="AP428" s="12" t="s">
        <v>1050</v>
      </c>
      <c r="AQ428" s="139"/>
      <c r="AR428" s="10" t="s">
        <v>127</v>
      </c>
      <c r="AS428" s="13">
        <v>3749</v>
      </c>
      <c r="AT428" s="13"/>
      <c r="AU428" s="13"/>
      <c r="AV428" s="13"/>
      <c r="AW428" s="13"/>
      <c r="AX428" s="13">
        <v>3749</v>
      </c>
      <c r="AY428" s="13">
        <v>2240.8406392694064</v>
      </c>
      <c r="AZ428" s="13">
        <v>0</v>
      </c>
      <c r="BA428" s="13"/>
      <c r="BB428" s="13"/>
      <c r="BC428" s="13">
        <v>-1508.1593607305936</v>
      </c>
      <c r="BD428" s="13"/>
      <c r="BE428" s="13" t="s">
        <v>114</v>
      </c>
      <c r="BF428" s="29"/>
      <c r="BG428" s="13"/>
      <c r="BH428" s="13">
        <f>-FAR[[#This Row],[Carrying value (opening balance)]]/FAR[[#This Row],[Opening RUL 30 June 2026]]</f>
        <v>-624.83333333333337</v>
      </c>
      <c r="BI428" s="13">
        <f>FAR[[#This Row],[Depreciation YTD]]/12</f>
        <v>-52.06944444444445</v>
      </c>
      <c r="BJ428" s="13"/>
      <c r="BK428" s="13" t="s">
        <v>116</v>
      </c>
      <c r="BL428" s="13">
        <v>0</v>
      </c>
      <c r="BM428" s="13">
        <f>FAR[[#This Row],[Accumulated depreciation (Opening balance)]]+FAR[[#This Row],[Depreciation YTD]]+FAR[[#This Row],[Derecognitions (acc dep) '[+']]]</f>
        <v>-2132.992694063927</v>
      </c>
      <c r="BN428" s="13"/>
      <c r="BO428" s="13"/>
      <c r="BP428" s="13"/>
      <c r="BQ428" s="13"/>
      <c r="BR42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28" s="13">
        <f>FAR[[#This Row],[Cost Price (closing balance)]]+FAR[[#This Row],[Accumulated depreciation (Closing balance)]]+FAR[[#This Row],[Accumulated impairments (Closing balance)]]</f>
        <v>1616.007305936073</v>
      </c>
      <c r="BT428" s="13">
        <f>FAR[[#This Row],[Accumulated depreciation (Opening balance)]]</f>
        <v>-1508.1593607305936</v>
      </c>
      <c r="BU428" s="13"/>
      <c r="BV428" s="13"/>
      <c r="BW428" s="10"/>
      <c r="BX428" s="9"/>
      <c r="BY428" s="10"/>
      <c r="BZ428" t="s">
        <v>1036</v>
      </c>
      <c r="CA428"/>
      <c r="CB428" s="34"/>
      <c r="CC428" s="34"/>
      <c r="CD428" s="34"/>
      <c r="CE428" s="141">
        <f>FAR[[#This Row],[Additions capitalised (@actual cost)]]/FAR[[#This Row],[EUL]]</f>
        <v>0</v>
      </c>
    </row>
    <row r="429" spans="1:83">
      <c r="A429" s="35">
        <v>1636</v>
      </c>
      <c r="B429" s="9" t="s">
        <v>867</v>
      </c>
      <c r="C429" s="9" t="s">
        <v>54</v>
      </c>
      <c r="D429" s="10" t="s">
        <v>1</v>
      </c>
      <c r="E429" s="9" t="s">
        <v>115</v>
      </c>
      <c r="F429" s="36" t="s">
        <v>99</v>
      </c>
      <c r="G429" s="9" t="s">
        <v>100</v>
      </c>
      <c r="H429" s="3" t="s">
        <v>128</v>
      </c>
      <c r="I429" s="9" t="s">
        <v>100</v>
      </c>
      <c r="J429" s="36" t="s">
        <v>101</v>
      </c>
      <c r="K429" s="10" t="s">
        <v>559</v>
      </c>
      <c r="L429" s="10" t="s">
        <v>559</v>
      </c>
      <c r="M429" s="9" t="s">
        <v>100</v>
      </c>
      <c r="N429" s="10" t="s">
        <v>555</v>
      </c>
      <c r="O429" s="9" t="s">
        <v>100</v>
      </c>
      <c r="P429" s="10"/>
      <c r="Q429" s="10" t="s">
        <v>555</v>
      </c>
      <c r="R429" s="10" t="s">
        <v>119</v>
      </c>
      <c r="S429" s="10" t="s">
        <v>130</v>
      </c>
      <c r="T429" s="10" t="s">
        <v>120</v>
      </c>
      <c r="U429" s="10" t="s">
        <v>101</v>
      </c>
      <c r="V429" s="10" t="s">
        <v>121</v>
      </c>
      <c r="W429" s="10" t="s">
        <v>122</v>
      </c>
      <c r="X429" s="10" t="s">
        <v>123</v>
      </c>
      <c r="Y429" s="29">
        <v>1</v>
      </c>
      <c r="Z429" s="138" t="s">
        <v>598</v>
      </c>
      <c r="AA429" s="138">
        <v>44865</v>
      </c>
      <c r="AB429" s="9" t="s">
        <v>114</v>
      </c>
      <c r="AC429" s="9" t="s">
        <v>124</v>
      </c>
      <c r="AD429" s="15">
        <v>45016</v>
      </c>
      <c r="AE429" s="39" t="s">
        <v>125</v>
      </c>
      <c r="AF429" s="177">
        <v>6</v>
      </c>
      <c r="AG429" s="140">
        <v>0</v>
      </c>
      <c r="AH429" s="9">
        <v>0</v>
      </c>
      <c r="AI429" s="10" t="s">
        <v>126</v>
      </c>
      <c r="AJ429" s="10"/>
      <c r="AK429" s="29"/>
      <c r="AL429" s="12">
        <v>3.5863013698630137</v>
      </c>
      <c r="AM429" s="10">
        <v>0</v>
      </c>
      <c r="AN429" s="12">
        <f>FAR[[#This Row],[Opening RUL]]+FAR[[#This Row],[RUL Adjustment]]</f>
        <v>3.5863013698630137</v>
      </c>
      <c r="AO429" s="12">
        <f>FAR[[#This Row],[Opening RUL 30 June 2026]]-1</f>
        <v>2.5863013698630137</v>
      </c>
      <c r="AP429" s="12" t="s">
        <v>1050</v>
      </c>
      <c r="AQ429" s="139"/>
      <c r="AR429" s="10" t="s">
        <v>127</v>
      </c>
      <c r="AS429" s="13">
        <v>3749</v>
      </c>
      <c r="AT429" s="13"/>
      <c r="AU429" s="13"/>
      <c r="AV429" s="13"/>
      <c r="AW429" s="13"/>
      <c r="AX429" s="13">
        <v>3749</v>
      </c>
      <c r="AY429" s="13">
        <v>2240.8406392694064</v>
      </c>
      <c r="AZ429" s="13">
        <v>0</v>
      </c>
      <c r="BA429" s="13"/>
      <c r="BB429" s="13"/>
      <c r="BC429" s="13">
        <v>-1508.1593607305936</v>
      </c>
      <c r="BD429" s="13"/>
      <c r="BE429" s="13" t="s">
        <v>114</v>
      </c>
      <c r="BF429" s="29"/>
      <c r="BG429" s="13"/>
      <c r="BH429" s="13">
        <f>-FAR[[#This Row],[Carrying value (opening balance)]]/FAR[[#This Row],[Opening RUL 30 June 2026]]</f>
        <v>-624.83333333333337</v>
      </c>
      <c r="BI429" s="13">
        <f>FAR[[#This Row],[Depreciation YTD]]/12</f>
        <v>-52.06944444444445</v>
      </c>
      <c r="BJ429" s="13"/>
      <c r="BK429" s="13" t="s">
        <v>116</v>
      </c>
      <c r="BL429" s="13">
        <v>0</v>
      </c>
      <c r="BM429" s="13">
        <f>FAR[[#This Row],[Accumulated depreciation (Opening balance)]]+FAR[[#This Row],[Depreciation YTD]]+FAR[[#This Row],[Derecognitions (acc dep) '[+']]]</f>
        <v>-2132.992694063927</v>
      </c>
      <c r="BN429" s="13"/>
      <c r="BO429" s="13"/>
      <c r="BP429" s="13"/>
      <c r="BQ429" s="13"/>
      <c r="BR42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29" s="13">
        <f>FAR[[#This Row],[Cost Price (closing balance)]]+FAR[[#This Row],[Accumulated depreciation (Closing balance)]]+FAR[[#This Row],[Accumulated impairments (Closing balance)]]</f>
        <v>1616.007305936073</v>
      </c>
      <c r="BT429" s="13">
        <f>FAR[[#This Row],[Accumulated depreciation (Opening balance)]]</f>
        <v>-1508.1593607305936</v>
      </c>
      <c r="BU429" s="13"/>
      <c r="BV429" s="13"/>
      <c r="BW429" s="10"/>
      <c r="BX429" s="9"/>
      <c r="BY429" s="10"/>
      <c r="BZ429" t="s">
        <v>1026</v>
      </c>
      <c r="CA429"/>
      <c r="CB429" s="34"/>
      <c r="CC429" s="34"/>
      <c r="CD429" s="34"/>
      <c r="CE429" s="141">
        <f>FAR[[#This Row],[Additions capitalised (@actual cost)]]/FAR[[#This Row],[EUL]]</f>
        <v>0</v>
      </c>
    </row>
    <row r="430" spans="1:83">
      <c r="A430" s="35">
        <v>1946</v>
      </c>
      <c r="B430" s="9">
        <v>2</v>
      </c>
      <c r="C430" s="9" t="s">
        <v>54</v>
      </c>
      <c r="D430" s="10" t="s">
        <v>1</v>
      </c>
      <c r="E430" s="9" t="s">
        <v>115</v>
      </c>
      <c r="F430" s="36" t="s">
        <v>99</v>
      </c>
      <c r="G430" s="9" t="s">
        <v>100</v>
      </c>
      <c r="H430" s="3" t="s">
        <v>623</v>
      </c>
      <c r="I430" s="9" t="s">
        <v>100</v>
      </c>
      <c r="J430" s="36" t="s">
        <v>101</v>
      </c>
      <c r="K430" s="10" t="s">
        <v>559</v>
      </c>
      <c r="L430" s="10" t="s">
        <v>559</v>
      </c>
      <c r="M430" s="9" t="s">
        <v>100</v>
      </c>
      <c r="N430" s="10" t="s">
        <v>1072</v>
      </c>
      <c r="O430" s="9" t="s">
        <v>100</v>
      </c>
      <c r="P430" s="10"/>
      <c r="Q430" s="10" t="s">
        <v>1072</v>
      </c>
      <c r="R430" s="10" t="s">
        <v>119</v>
      </c>
      <c r="S430" s="10" t="s">
        <v>130</v>
      </c>
      <c r="T430" s="10" t="s">
        <v>120</v>
      </c>
      <c r="U430" s="10" t="s">
        <v>101</v>
      </c>
      <c r="V430" s="10" t="s">
        <v>121</v>
      </c>
      <c r="W430" s="10" t="s">
        <v>122</v>
      </c>
      <c r="X430" s="10" t="s">
        <v>123</v>
      </c>
      <c r="Y430" s="29">
        <v>1</v>
      </c>
      <c r="Z430" s="138" t="s">
        <v>683</v>
      </c>
      <c r="AA430" s="138">
        <v>44659</v>
      </c>
      <c r="AB430" s="9" t="s">
        <v>114</v>
      </c>
      <c r="AC430" s="9" t="s">
        <v>124</v>
      </c>
      <c r="AD430" s="15">
        <v>45016</v>
      </c>
      <c r="AE430" s="39" t="s">
        <v>125</v>
      </c>
      <c r="AF430" s="177">
        <v>6</v>
      </c>
      <c r="AG430" s="140">
        <v>0</v>
      </c>
      <c r="AH430" s="9">
        <v>0</v>
      </c>
      <c r="AI430" s="10" t="s">
        <v>126</v>
      </c>
      <c r="AJ430" s="10"/>
      <c r="AK430" s="29"/>
      <c r="AL430" s="12">
        <v>3.021917808219178</v>
      </c>
      <c r="AM430" s="10">
        <v>0</v>
      </c>
      <c r="AN430" s="12">
        <f>FAR[[#This Row],[Opening RUL]]+FAR[[#This Row],[RUL Adjustment]]</f>
        <v>3.021917808219178</v>
      </c>
      <c r="AO430" s="12">
        <f>FAR[[#This Row],[Opening RUL 30 June 2026]]-1</f>
        <v>2.021917808219178</v>
      </c>
      <c r="AP430" s="12" t="s">
        <v>1050</v>
      </c>
      <c r="AQ430" s="139"/>
      <c r="AR430" s="10" t="s">
        <v>127</v>
      </c>
      <c r="AS430" s="13">
        <v>7500</v>
      </c>
      <c r="AT430" s="13"/>
      <c r="AU430" s="13"/>
      <c r="AV430" s="13"/>
      <c r="AW430" s="13"/>
      <c r="AX430" s="13">
        <v>7500</v>
      </c>
      <c r="AY430" s="13">
        <v>3777.3972602739709</v>
      </c>
      <c r="AZ430" s="13">
        <v>0</v>
      </c>
      <c r="BA430" s="13"/>
      <c r="BB430" s="13"/>
      <c r="BC430" s="13">
        <v>-3722.6027397260291</v>
      </c>
      <c r="BD430" s="13"/>
      <c r="BE430" s="13" t="s">
        <v>114</v>
      </c>
      <c r="BF430" s="29"/>
      <c r="BG430" s="13"/>
      <c r="BH430" s="13">
        <f>-FAR[[#This Row],[Carrying value (opening balance)]]/FAR[[#This Row],[Opening RUL 30 June 2026]]</f>
        <v>-1249.9999999999995</v>
      </c>
      <c r="BI430" s="13">
        <f>FAR[[#This Row],[Depreciation YTD]]/12</f>
        <v>-104.16666666666663</v>
      </c>
      <c r="BJ430" s="13"/>
      <c r="BK430" s="13" t="s">
        <v>116</v>
      </c>
      <c r="BL430" s="13">
        <v>0</v>
      </c>
      <c r="BM430" s="13">
        <f>FAR[[#This Row],[Accumulated depreciation (Opening balance)]]+FAR[[#This Row],[Depreciation YTD]]+FAR[[#This Row],[Derecognitions (acc dep) '[+']]]</f>
        <v>-4972.6027397260286</v>
      </c>
      <c r="BN430" s="13"/>
      <c r="BO430" s="13"/>
      <c r="BP430" s="13"/>
      <c r="BQ430" s="13"/>
      <c r="BR43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30" s="13">
        <f>FAR[[#This Row],[Cost Price (closing balance)]]+FAR[[#This Row],[Accumulated depreciation (Closing balance)]]+FAR[[#This Row],[Accumulated impairments (Closing balance)]]</f>
        <v>2527.3972602739714</v>
      </c>
      <c r="BT430" s="13">
        <f>FAR[[#This Row],[Accumulated depreciation (Opening balance)]]</f>
        <v>-3722.6027397260291</v>
      </c>
      <c r="BU430" s="13"/>
      <c r="BV430" s="13"/>
      <c r="BW430" s="10"/>
      <c r="BX430" s="9"/>
      <c r="BY430" s="10"/>
      <c r="BZ430" t="s">
        <v>945</v>
      </c>
      <c r="CA430"/>
      <c r="CB430" s="34"/>
      <c r="CC430" s="34"/>
      <c r="CD430" s="34"/>
      <c r="CE430" s="141">
        <f>FAR[[#This Row],[Additions capitalised (@actual cost)]]/FAR[[#This Row],[EUL]]</f>
        <v>0</v>
      </c>
    </row>
    <row r="431" spans="1:83">
      <c r="A431" s="35">
        <v>1966</v>
      </c>
      <c r="B431" s="9">
        <v>2</v>
      </c>
      <c r="C431" s="9" t="s">
        <v>54</v>
      </c>
      <c r="D431" s="10" t="s">
        <v>1</v>
      </c>
      <c r="E431" s="9" t="s">
        <v>115</v>
      </c>
      <c r="F431" s="36" t="s">
        <v>99</v>
      </c>
      <c r="G431" s="9" t="s">
        <v>100</v>
      </c>
      <c r="H431" s="3" t="s">
        <v>623</v>
      </c>
      <c r="I431" s="9" t="s">
        <v>100</v>
      </c>
      <c r="J431" s="36" t="s">
        <v>101</v>
      </c>
      <c r="K431" s="10" t="s">
        <v>559</v>
      </c>
      <c r="L431" s="10" t="s">
        <v>559</v>
      </c>
      <c r="M431" s="9" t="s">
        <v>100</v>
      </c>
      <c r="N431" s="10" t="s">
        <v>1073</v>
      </c>
      <c r="O431" s="9" t="s">
        <v>100</v>
      </c>
      <c r="P431" s="10"/>
      <c r="Q431" s="10" t="s">
        <v>1073</v>
      </c>
      <c r="R431" s="10" t="s">
        <v>119</v>
      </c>
      <c r="S431" s="10" t="s">
        <v>130</v>
      </c>
      <c r="T431" s="10" t="s">
        <v>120</v>
      </c>
      <c r="U431" s="10" t="s">
        <v>101</v>
      </c>
      <c r="V431" s="10" t="s">
        <v>121</v>
      </c>
      <c r="W431" s="10" t="s">
        <v>122</v>
      </c>
      <c r="X431" s="10" t="s">
        <v>123</v>
      </c>
      <c r="Y431" s="29">
        <v>1</v>
      </c>
      <c r="Z431" s="138" t="s">
        <v>683</v>
      </c>
      <c r="AA431" s="138">
        <v>44659</v>
      </c>
      <c r="AB431" s="9" t="s">
        <v>114</v>
      </c>
      <c r="AC431" s="9" t="s">
        <v>124</v>
      </c>
      <c r="AD431" s="15">
        <v>45016</v>
      </c>
      <c r="AE431" s="39" t="s">
        <v>125</v>
      </c>
      <c r="AF431" s="177">
        <v>6</v>
      </c>
      <c r="AG431" s="140">
        <v>0</v>
      </c>
      <c r="AH431" s="9">
        <v>0</v>
      </c>
      <c r="AI431" s="10" t="s">
        <v>126</v>
      </c>
      <c r="AJ431" s="10"/>
      <c r="AK431" s="29"/>
      <c r="AL431" s="12">
        <v>3.021917808219178</v>
      </c>
      <c r="AM431" s="10">
        <v>0</v>
      </c>
      <c r="AN431" s="12">
        <f>FAR[[#This Row],[Opening RUL]]+FAR[[#This Row],[RUL Adjustment]]</f>
        <v>3.021917808219178</v>
      </c>
      <c r="AO431" s="12">
        <f>FAR[[#This Row],[Opening RUL 30 June 2026]]-1</f>
        <v>2.021917808219178</v>
      </c>
      <c r="AP431" s="12" t="s">
        <v>1050</v>
      </c>
      <c r="AQ431" s="139"/>
      <c r="AR431" s="10" t="s">
        <v>127</v>
      </c>
      <c r="AS431" s="13">
        <v>10500</v>
      </c>
      <c r="AT431" s="13"/>
      <c r="AU431" s="13"/>
      <c r="AV431" s="13"/>
      <c r="AW431" s="13"/>
      <c r="AX431" s="13">
        <v>10500</v>
      </c>
      <c r="AY431" s="13">
        <v>5288.3561643835601</v>
      </c>
      <c r="AZ431" s="13">
        <v>0</v>
      </c>
      <c r="BA431" s="13"/>
      <c r="BB431" s="13"/>
      <c r="BC431" s="13">
        <v>-5211.6438356164399</v>
      </c>
      <c r="BD431" s="13"/>
      <c r="BE431" s="13" t="s">
        <v>114</v>
      </c>
      <c r="BF431" s="29"/>
      <c r="BG431" s="13"/>
      <c r="BH431" s="13">
        <f>-FAR[[#This Row],[Carrying value (opening balance)]]/FAR[[#This Row],[Opening RUL 30 June 2026]]</f>
        <v>-1749.9999999999995</v>
      </c>
      <c r="BI431" s="13">
        <f>FAR[[#This Row],[Depreciation YTD]]/12</f>
        <v>-145.83333333333329</v>
      </c>
      <c r="BJ431" s="13"/>
      <c r="BK431" s="13" t="s">
        <v>116</v>
      </c>
      <c r="BL431" s="13">
        <v>0</v>
      </c>
      <c r="BM431" s="13">
        <f>FAR[[#This Row],[Accumulated depreciation (Opening balance)]]+FAR[[#This Row],[Depreciation YTD]]+FAR[[#This Row],[Derecognitions (acc dep) '[+']]]</f>
        <v>-6961.6438356164399</v>
      </c>
      <c r="BN431" s="13"/>
      <c r="BO431" s="13"/>
      <c r="BP431" s="13"/>
      <c r="BQ431" s="13"/>
      <c r="BR43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31" s="13">
        <f>FAR[[#This Row],[Cost Price (closing balance)]]+FAR[[#This Row],[Accumulated depreciation (Closing balance)]]+FAR[[#This Row],[Accumulated impairments (Closing balance)]]</f>
        <v>3538.3561643835601</v>
      </c>
      <c r="BT431" s="13">
        <f>FAR[[#This Row],[Accumulated depreciation (Opening balance)]]</f>
        <v>-5211.6438356164399</v>
      </c>
      <c r="BU431" s="13"/>
      <c r="BV431" s="13"/>
      <c r="BW431" s="10"/>
      <c r="BX431" s="9"/>
      <c r="BY431" s="10"/>
      <c r="BZ431" t="s">
        <v>945</v>
      </c>
      <c r="CA431"/>
      <c r="CB431" s="34"/>
      <c r="CC431" s="34"/>
      <c r="CD431" s="34"/>
      <c r="CE431" s="141">
        <f>FAR[[#This Row],[Additions capitalised (@actual cost)]]/FAR[[#This Row],[EUL]]</f>
        <v>0</v>
      </c>
    </row>
    <row r="432" spans="1:83">
      <c r="A432" s="35">
        <v>1959</v>
      </c>
      <c r="B432" s="213">
        <v>2</v>
      </c>
      <c r="C432" s="9" t="s">
        <v>54</v>
      </c>
      <c r="D432" s="10" t="s">
        <v>1</v>
      </c>
      <c r="E432" s="9" t="s">
        <v>115</v>
      </c>
      <c r="F432" s="36" t="s">
        <v>99</v>
      </c>
      <c r="G432" s="9" t="s">
        <v>100</v>
      </c>
      <c r="H432" s="3" t="s">
        <v>623</v>
      </c>
      <c r="I432" s="9" t="s">
        <v>100</v>
      </c>
      <c r="J432" s="36" t="s">
        <v>101</v>
      </c>
      <c r="K432" s="10" t="s">
        <v>559</v>
      </c>
      <c r="L432" s="10" t="s">
        <v>559</v>
      </c>
      <c r="M432" s="9" t="s">
        <v>100</v>
      </c>
      <c r="N432" s="10" t="s">
        <v>1074</v>
      </c>
      <c r="O432" s="9" t="s">
        <v>100</v>
      </c>
      <c r="P432" s="10"/>
      <c r="Q432" s="10" t="s">
        <v>1074</v>
      </c>
      <c r="R432" s="10" t="s">
        <v>119</v>
      </c>
      <c r="S432" s="10" t="s">
        <v>130</v>
      </c>
      <c r="T432" s="10" t="s">
        <v>120</v>
      </c>
      <c r="U432" s="10" t="s">
        <v>101</v>
      </c>
      <c r="V432" s="10" t="s">
        <v>121</v>
      </c>
      <c r="W432" s="10" t="s">
        <v>122</v>
      </c>
      <c r="X432" s="10" t="s">
        <v>123</v>
      </c>
      <c r="Y432" s="29">
        <v>1</v>
      </c>
      <c r="Z432" s="138" t="s">
        <v>683</v>
      </c>
      <c r="AA432" s="138">
        <v>44659</v>
      </c>
      <c r="AB432" s="9" t="s">
        <v>114</v>
      </c>
      <c r="AC432" s="9" t="s">
        <v>124</v>
      </c>
      <c r="AD432" s="15">
        <v>45016</v>
      </c>
      <c r="AE432" s="39" t="s">
        <v>125</v>
      </c>
      <c r="AF432" s="177">
        <v>6</v>
      </c>
      <c r="AG432" s="140">
        <v>0</v>
      </c>
      <c r="AH432" s="9">
        <v>0</v>
      </c>
      <c r="AI432" s="10" t="s">
        <v>126</v>
      </c>
      <c r="AJ432" s="10"/>
      <c r="AK432" s="29"/>
      <c r="AL432" s="12">
        <v>3.021917808219178</v>
      </c>
      <c r="AM432" s="10">
        <v>0</v>
      </c>
      <c r="AN432" s="12">
        <f>FAR[[#This Row],[Opening RUL]]+FAR[[#This Row],[RUL Adjustment]]</f>
        <v>3.021917808219178</v>
      </c>
      <c r="AO432" s="12">
        <f>FAR[[#This Row],[Opening RUL 30 June 2026]]-1</f>
        <v>2.021917808219178</v>
      </c>
      <c r="AP432" s="12" t="s">
        <v>1050</v>
      </c>
      <c r="AQ432" s="139"/>
      <c r="AR432" s="10" t="s">
        <v>127</v>
      </c>
      <c r="AS432" s="13">
        <v>15000</v>
      </c>
      <c r="AT432" s="13"/>
      <c r="AU432" s="13"/>
      <c r="AV432" s="13"/>
      <c r="AW432" s="13"/>
      <c r="AX432" s="13">
        <v>15000</v>
      </c>
      <c r="AY432" s="13">
        <v>7554.7945205479482</v>
      </c>
      <c r="AZ432" s="13">
        <v>0</v>
      </c>
      <c r="BA432" s="13"/>
      <c r="BB432" s="13"/>
      <c r="BC432" s="13">
        <v>-7445.2054794520518</v>
      </c>
      <c r="BD432" s="13"/>
      <c r="BE432" s="13" t="s">
        <v>114</v>
      </c>
      <c r="BF432" s="29"/>
      <c r="BG432" s="13"/>
      <c r="BH432" s="13">
        <f>-FAR[[#This Row],[Carrying value (opening balance)]]/FAR[[#This Row],[Opening RUL 30 June 2026]]</f>
        <v>-2500.0000000000009</v>
      </c>
      <c r="BI432" s="13">
        <f>FAR[[#This Row],[Depreciation YTD]]/12</f>
        <v>-208.3333333333334</v>
      </c>
      <c r="BJ432" s="13"/>
      <c r="BK432" s="13" t="s">
        <v>116</v>
      </c>
      <c r="BL432" s="13">
        <v>0</v>
      </c>
      <c r="BM432" s="13">
        <f>FAR[[#This Row],[Accumulated depreciation (Opening balance)]]+FAR[[#This Row],[Depreciation YTD]]+FAR[[#This Row],[Derecognitions (acc dep) '[+']]]</f>
        <v>-9945.2054794520518</v>
      </c>
      <c r="BN432" s="13"/>
      <c r="BO432" s="13"/>
      <c r="BP432" s="13"/>
      <c r="BQ432" s="13"/>
      <c r="BR43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32" s="13">
        <f>FAR[[#This Row],[Cost Price (closing balance)]]+FAR[[#This Row],[Accumulated depreciation (Closing balance)]]+FAR[[#This Row],[Accumulated impairments (Closing balance)]]</f>
        <v>5054.7945205479482</v>
      </c>
      <c r="BT432" s="13">
        <f>FAR[[#This Row],[Accumulated depreciation (Opening balance)]]</f>
        <v>-7445.2054794520518</v>
      </c>
      <c r="BU432" s="13"/>
      <c r="BV432" s="13"/>
      <c r="BW432" s="10"/>
      <c r="BX432" s="9"/>
      <c r="BY432" s="10"/>
      <c r="BZ432" t="s">
        <v>945</v>
      </c>
      <c r="CA432"/>
      <c r="CB432" s="34"/>
      <c r="CC432" s="34"/>
      <c r="CD432" s="34"/>
      <c r="CE432" s="141">
        <f>FAR[[#This Row],[Additions capitalised (@actual cost)]]/FAR[[#This Row],[EUL]]</f>
        <v>0</v>
      </c>
    </row>
    <row r="433" spans="1:83">
      <c r="A433" s="35">
        <v>1946</v>
      </c>
      <c r="B433" s="9">
        <v>2</v>
      </c>
      <c r="C433" s="9" t="s">
        <v>54</v>
      </c>
      <c r="D433" s="10" t="s">
        <v>1</v>
      </c>
      <c r="E433" s="9" t="s">
        <v>115</v>
      </c>
      <c r="F433" s="36" t="s">
        <v>99</v>
      </c>
      <c r="G433" s="9" t="s">
        <v>100</v>
      </c>
      <c r="H433" s="3" t="s">
        <v>623</v>
      </c>
      <c r="I433" s="9" t="s">
        <v>100</v>
      </c>
      <c r="J433" s="36" t="s">
        <v>101</v>
      </c>
      <c r="K433" s="10" t="s">
        <v>559</v>
      </c>
      <c r="L433" s="10" t="s">
        <v>559</v>
      </c>
      <c r="M433" s="9" t="s">
        <v>100</v>
      </c>
      <c r="N433" s="10" t="s">
        <v>1075</v>
      </c>
      <c r="O433" s="9" t="s">
        <v>100</v>
      </c>
      <c r="P433" s="10"/>
      <c r="Q433" s="10" t="s">
        <v>1075</v>
      </c>
      <c r="R433" s="10" t="s">
        <v>119</v>
      </c>
      <c r="S433" s="10" t="s">
        <v>130</v>
      </c>
      <c r="T433" s="10" t="s">
        <v>120</v>
      </c>
      <c r="U433" s="10" t="s">
        <v>101</v>
      </c>
      <c r="V433" s="10" t="s">
        <v>121</v>
      </c>
      <c r="W433" s="10" t="s">
        <v>122</v>
      </c>
      <c r="X433" s="10" t="s">
        <v>123</v>
      </c>
      <c r="Y433" s="29">
        <v>1</v>
      </c>
      <c r="Z433" s="138" t="s">
        <v>683</v>
      </c>
      <c r="AA433" s="138">
        <v>44659</v>
      </c>
      <c r="AB433" s="9" t="s">
        <v>114</v>
      </c>
      <c r="AC433" s="9" t="s">
        <v>124</v>
      </c>
      <c r="AD433" s="15">
        <v>45016</v>
      </c>
      <c r="AE433" s="39" t="s">
        <v>125</v>
      </c>
      <c r="AF433" s="177">
        <v>6</v>
      </c>
      <c r="AG433" s="140">
        <v>0</v>
      </c>
      <c r="AH433" s="9">
        <v>0</v>
      </c>
      <c r="AI433" s="10" t="s">
        <v>126</v>
      </c>
      <c r="AJ433" s="10"/>
      <c r="AK433" s="29"/>
      <c r="AL433" s="12">
        <v>3.021917808219178</v>
      </c>
      <c r="AM433" s="10">
        <v>0</v>
      </c>
      <c r="AN433" s="12">
        <f>FAR[[#This Row],[Opening RUL]]+FAR[[#This Row],[RUL Adjustment]]</f>
        <v>3.021917808219178</v>
      </c>
      <c r="AO433" s="12">
        <f>FAR[[#This Row],[Opening RUL 30 June 2026]]-1</f>
        <v>2.021917808219178</v>
      </c>
      <c r="AP433" s="12" t="s">
        <v>1050</v>
      </c>
      <c r="AQ433" s="139"/>
      <c r="AR433" s="10" t="s">
        <v>127</v>
      </c>
      <c r="AS433" s="13">
        <v>23600</v>
      </c>
      <c r="AT433" s="13"/>
      <c r="AU433" s="13"/>
      <c r="AV433" s="13"/>
      <c r="AW433" s="13"/>
      <c r="AX433" s="13">
        <v>23600</v>
      </c>
      <c r="AY433" s="13">
        <v>11886.210045662101</v>
      </c>
      <c r="AZ433" s="13">
        <v>0</v>
      </c>
      <c r="BA433" s="13"/>
      <c r="BB433" s="13"/>
      <c r="BC433" s="13">
        <v>-11713.789954337899</v>
      </c>
      <c r="BD433" s="13"/>
      <c r="BE433" s="13" t="s">
        <v>114</v>
      </c>
      <c r="BF433" s="29"/>
      <c r="BG433" s="13"/>
      <c r="BH433" s="13">
        <f>-FAR[[#This Row],[Carrying value (opening balance)]]/FAR[[#This Row],[Opening RUL 30 June 2026]]</f>
        <v>-3933.3333333333335</v>
      </c>
      <c r="BI433" s="13">
        <f>FAR[[#This Row],[Depreciation YTD]]/12</f>
        <v>-327.77777777777777</v>
      </c>
      <c r="BJ433" s="13"/>
      <c r="BK433" s="13" t="s">
        <v>116</v>
      </c>
      <c r="BL433" s="13">
        <v>0</v>
      </c>
      <c r="BM433" s="13">
        <f>FAR[[#This Row],[Accumulated depreciation (Opening balance)]]+FAR[[#This Row],[Depreciation YTD]]+FAR[[#This Row],[Derecognitions (acc dep) '[+']]]</f>
        <v>-15647.123287671233</v>
      </c>
      <c r="BN433" s="13"/>
      <c r="BO433" s="13"/>
      <c r="BP433" s="13"/>
      <c r="BQ433" s="13"/>
      <c r="BR43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33" s="13">
        <f>FAR[[#This Row],[Cost Price (closing balance)]]+FAR[[#This Row],[Accumulated depreciation (Closing balance)]]+FAR[[#This Row],[Accumulated impairments (Closing balance)]]</f>
        <v>7952.8767123287671</v>
      </c>
      <c r="BT433" s="13">
        <f>FAR[[#This Row],[Accumulated depreciation (Opening balance)]]</f>
        <v>-11713.789954337899</v>
      </c>
      <c r="BU433" s="13"/>
      <c r="BV433" s="13"/>
      <c r="BW433" s="10"/>
      <c r="BX433" s="9"/>
      <c r="BY433" s="10"/>
      <c r="BZ433" t="s">
        <v>945</v>
      </c>
      <c r="CA433"/>
      <c r="CB433" s="34"/>
      <c r="CC433" s="34"/>
      <c r="CD433" s="34"/>
      <c r="CE433" s="141">
        <f>FAR[[#This Row],[Additions capitalised (@actual cost)]]/FAR[[#This Row],[EUL]]</f>
        <v>0</v>
      </c>
    </row>
    <row r="434" spans="1:83">
      <c r="A434" s="35"/>
      <c r="B434" s="9">
        <v>2</v>
      </c>
      <c r="C434" s="9" t="s">
        <v>54</v>
      </c>
      <c r="D434" s="10" t="s">
        <v>1</v>
      </c>
      <c r="E434" s="9" t="s">
        <v>115</v>
      </c>
      <c r="F434" s="36" t="s">
        <v>99</v>
      </c>
      <c r="G434" s="9" t="s">
        <v>100</v>
      </c>
      <c r="H434" s="3" t="s">
        <v>623</v>
      </c>
      <c r="I434" s="9" t="s">
        <v>100</v>
      </c>
      <c r="J434" s="36" t="s">
        <v>101</v>
      </c>
      <c r="K434" s="10" t="s">
        <v>559</v>
      </c>
      <c r="L434" s="10" t="s">
        <v>559</v>
      </c>
      <c r="M434" s="9" t="s">
        <v>100</v>
      </c>
      <c r="N434" s="10" t="s">
        <v>1076</v>
      </c>
      <c r="O434" s="9" t="s">
        <v>100</v>
      </c>
      <c r="P434" s="10"/>
      <c r="Q434" s="10" t="s">
        <v>1076</v>
      </c>
      <c r="R434" s="10" t="s">
        <v>119</v>
      </c>
      <c r="S434" s="10" t="s">
        <v>130</v>
      </c>
      <c r="T434" s="10" t="s">
        <v>120</v>
      </c>
      <c r="U434" s="10" t="s">
        <v>101</v>
      </c>
      <c r="V434" s="10" t="s">
        <v>121</v>
      </c>
      <c r="W434" s="10" t="s">
        <v>122</v>
      </c>
      <c r="X434" s="10" t="s">
        <v>123</v>
      </c>
      <c r="Y434" s="29">
        <v>1</v>
      </c>
      <c r="Z434" s="138" t="s">
        <v>683</v>
      </c>
      <c r="AA434" s="138">
        <v>44659</v>
      </c>
      <c r="AB434" s="9" t="s">
        <v>114</v>
      </c>
      <c r="AC434" s="9" t="s">
        <v>124</v>
      </c>
      <c r="AD434" s="15">
        <v>45016</v>
      </c>
      <c r="AE434" s="39" t="s">
        <v>125</v>
      </c>
      <c r="AF434" s="177">
        <v>6</v>
      </c>
      <c r="AG434" s="140">
        <v>0</v>
      </c>
      <c r="AH434" s="9">
        <v>0</v>
      </c>
      <c r="AI434" s="10" t="s">
        <v>126</v>
      </c>
      <c r="AJ434" s="10"/>
      <c r="AK434" s="29"/>
      <c r="AL434" s="12">
        <v>3.021917808219178</v>
      </c>
      <c r="AM434" s="10">
        <v>0</v>
      </c>
      <c r="AN434" s="12">
        <f>FAR[[#This Row],[Opening RUL]]+FAR[[#This Row],[RUL Adjustment]]</f>
        <v>3.021917808219178</v>
      </c>
      <c r="AO434" s="12">
        <f>FAR[[#This Row],[Opening RUL 30 June 2026]]-1</f>
        <v>2.021917808219178</v>
      </c>
      <c r="AP434" s="12" t="s">
        <v>1050</v>
      </c>
      <c r="AQ434" s="139"/>
      <c r="AR434" s="10" t="s">
        <v>127</v>
      </c>
      <c r="AS434" s="13">
        <v>1450</v>
      </c>
      <c r="AT434" s="13"/>
      <c r="AU434" s="13"/>
      <c r="AV434" s="13"/>
      <c r="AW434" s="13"/>
      <c r="AX434" s="13">
        <v>1450</v>
      </c>
      <c r="AY434" s="13">
        <v>730.29680365296781</v>
      </c>
      <c r="AZ434" s="13">
        <v>0</v>
      </c>
      <c r="BA434" s="13"/>
      <c r="BB434" s="13"/>
      <c r="BC434" s="13">
        <v>-719.70319634703219</v>
      </c>
      <c r="BD434" s="13"/>
      <c r="BE434" s="13" t="s">
        <v>114</v>
      </c>
      <c r="BF434" s="29"/>
      <c r="BG434" s="13"/>
      <c r="BH434" s="13">
        <f>-FAR[[#This Row],[Carrying value (opening balance)]]/FAR[[#This Row],[Opening RUL 30 June 2026]]</f>
        <v>-241.6666666666666</v>
      </c>
      <c r="BI434" s="13">
        <f>FAR[[#This Row],[Depreciation YTD]]/12</f>
        <v>-20.138888888888882</v>
      </c>
      <c r="BJ434" s="13"/>
      <c r="BK434" s="13" t="s">
        <v>116</v>
      </c>
      <c r="BL434" s="13">
        <v>0</v>
      </c>
      <c r="BM434" s="13">
        <f>FAR[[#This Row],[Accumulated depreciation (Opening balance)]]+FAR[[#This Row],[Depreciation YTD]]+FAR[[#This Row],[Derecognitions (acc dep) '[+']]]</f>
        <v>-961.36986301369882</v>
      </c>
      <c r="BN434" s="13"/>
      <c r="BO434" s="13"/>
      <c r="BP434" s="13"/>
      <c r="BQ434" s="13"/>
      <c r="BR43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34" s="13">
        <f>FAR[[#This Row],[Cost Price (closing balance)]]+FAR[[#This Row],[Accumulated depreciation (Closing balance)]]+FAR[[#This Row],[Accumulated impairments (Closing balance)]]</f>
        <v>488.63013698630118</v>
      </c>
      <c r="BT434" s="13">
        <f>FAR[[#This Row],[Accumulated depreciation (Opening balance)]]</f>
        <v>-719.70319634703219</v>
      </c>
      <c r="BU434" s="13"/>
      <c r="BV434" s="13"/>
      <c r="BW434" s="10"/>
      <c r="BX434" s="9"/>
      <c r="BY434" s="10"/>
      <c r="BZ434" t="s">
        <v>945</v>
      </c>
      <c r="CA434"/>
      <c r="CB434" s="34"/>
      <c r="CC434" s="34"/>
      <c r="CD434" s="34"/>
      <c r="CE434" s="141">
        <f>FAR[[#This Row],[Additions capitalised (@actual cost)]]/FAR[[#This Row],[EUL]]</f>
        <v>0</v>
      </c>
    </row>
    <row r="435" spans="1:83">
      <c r="A435" s="35"/>
      <c r="B435" s="9">
        <v>2</v>
      </c>
      <c r="C435" s="9" t="s">
        <v>54</v>
      </c>
      <c r="D435" s="10" t="s">
        <v>1</v>
      </c>
      <c r="E435" s="9" t="s">
        <v>115</v>
      </c>
      <c r="F435" s="36" t="s">
        <v>99</v>
      </c>
      <c r="G435" s="9" t="s">
        <v>100</v>
      </c>
      <c r="H435" s="3" t="s">
        <v>623</v>
      </c>
      <c r="I435" s="9" t="s">
        <v>100</v>
      </c>
      <c r="J435" s="36" t="s">
        <v>101</v>
      </c>
      <c r="K435" s="10" t="s">
        <v>559</v>
      </c>
      <c r="L435" s="10" t="s">
        <v>559</v>
      </c>
      <c r="M435" s="9" t="s">
        <v>100</v>
      </c>
      <c r="N435" s="10" t="s">
        <v>1076</v>
      </c>
      <c r="O435" s="9" t="s">
        <v>100</v>
      </c>
      <c r="P435" s="10"/>
      <c r="Q435" s="10" t="s">
        <v>1076</v>
      </c>
      <c r="R435" s="10" t="s">
        <v>119</v>
      </c>
      <c r="S435" s="10" t="s">
        <v>130</v>
      </c>
      <c r="T435" s="10" t="s">
        <v>120</v>
      </c>
      <c r="U435" s="10" t="s">
        <v>101</v>
      </c>
      <c r="V435" s="10" t="s">
        <v>121</v>
      </c>
      <c r="W435" s="10" t="s">
        <v>122</v>
      </c>
      <c r="X435" s="10" t="s">
        <v>123</v>
      </c>
      <c r="Y435" s="29">
        <v>1</v>
      </c>
      <c r="Z435" s="138" t="s">
        <v>683</v>
      </c>
      <c r="AA435" s="138">
        <v>44659</v>
      </c>
      <c r="AB435" s="9" t="s">
        <v>114</v>
      </c>
      <c r="AC435" s="9" t="s">
        <v>124</v>
      </c>
      <c r="AD435" s="15">
        <v>45016</v>
      </c>
      <c r="AE435" s="39" t="s">
        <v>125</v>
      </c>
      <c r="AF435" s="177">
        <v>6</v>
      </c>
      <c r="AG435" s="140">
        <v>0</v>
      </c>
      <c r="AH435" s="9">
        <v>0</v>
      </c>
      <c r="AI435" s="10" t="s">
        <v>126</v>
      </c>
      <c r="AJ435" s="10"/>
      <c r="AK435" s="29"/>
      <c r="AL435" s="12">
        <v>3.021917808219178</v>
      </c>
      <c r="AM435" s="10">
        <v>0</v>
      </c>
      <c r="AN435" s="12">
        <f>FAR[[#This Row],[Opening RUL]]+FAR[[#This Row],[RUL Adjustment]]</f>
        <v>3.021917808219178</v>
      </c>
      <c r="AO435" s="12">
        <f>FAR[[#This Row],[Opening RUL 30 June 2026]]-1</f>
        <v>2.021917808219178</v>
      </c>
      <c r="AP435" s="12" t="s">
        <v>1050</v>
      </c>
      <c r="AQ435" s="139"/>
      <c r="AR435" s="10" t="s">
        <v>127</v>
      </c>
      <c r="AS435" s="13">
        <v>1450</v>
      </c>
      <c r="AT435" s="13"/>
      <c r="AU435" s="13"/>
      <c r="AV435" s="13"/>
      <c r="AW435" s="13"/>
      <c r="AX435" s="13">
        <v>1450</v>
      </c>
      <c r="AY435" s="13">
        <v>730.29680365296781</v>
      </c>
      <c r="AZ435" s="13">
        <v>0</v>
      </c>
      <c r="BA435" s="13"/>
      <c r="BB435" s="13"/>
      <c r="BC435" s="13">
        <v>-719.70319634703219</v>
      </c>
      <c r="BD435" s="13"/>
      <c r="BE435" s="13" t="s">
        <v>114</v>
      </c>
      <c r="BF435" s="29"/>
      <c r="BG435" s="13"/>
      <c r="BH435" s="13">
        <f>-FAR[[#This Row],[Carrying value (opening balance)]]/FAR[[#This Row],[Opening RUL 30 June 2026]]</f>
        <v>-241.6666666666666</v>
      </c>
      <c r="BI435" s="13">
        <f>FAR[[#This Row],[Depreciation YTD]]/12</f>
        <v>-20.138888888888882</v>
      </c>
      <c r="BJ435" s="13"/>
      <c r="BK435" s="13" t="s">
        <v>116</v>
      </c>
      <c r="BL435" s="13">
        <v>0</v>
      </c>
      <c r="BM435" s="13">
        <f>FAR[[#This Row],[Accumulated depreciation (Opening balance)]]+FAR[[#This Row],[Depreciation YTD]]+FAR[[#This Row],[Derecognitions (acc dep) '[+']]]</f>
        <v>-961.36986301369882</v>
      </c>
      <c r="BN435" s="13"/>
      <c r="BO435" s="13"/>
      <c r="BP435" s="13"/>
      <c r="BQ435" s="13"/>
      <c r="BR43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35" s="13">
        <f>FAR[[#This Row],[Cost Price (closing balance)]]+FAR[[#This Row],[Accumulated depreciation (Closing balance)]]+FAR[[#This Row],[Accumulated impairments (Closing balance)]]</f>
        <v>488.63013698630118</v>
      </c>
      <c r="BT435" s="13">
        <f>FAR[[#This Row],[Accumulated depreciation (Opening balance)]]</f>
        <v>-719.70319634703219</v>
      </c>
      <c r="BU435" s="13"/>
      <c r="BV435" s="13"/>
      <c r="BW435" s="10"/>
      <c r="BX435" s="9"/>
      <c r="BY435" s="10"/>
      <c r="BZ435" t="s">
        <v>945</v>
      </c>
      <c r="CA435"/>
      <c r="CB435" s="34"/>
      <c r="CC435" s="34"/>
      <c r="CD435" s="34"/>
      <c r="CE435" s="141">
        <f>FAR[[#This Row],[Additions capitalised (@actual cost)]]/FAR[[#This Row],[EUL]]</f>
        <v>0</v>
      </c>
    </row>
    <row r="436" spans="1:83">
      <c r="A436" s="35"/>
      <c r="B436" s="9">
        <v>2</v>
      </c>
      <c r="C436" s="9" t="s">
        <v>54</v>
      </c>
      <c r="D436" s="10" t="s">
        <v>1</v>
      </c>
      <c r="E436" s="9" t="s">
        <v>115</v>
      </c>
      <c r="F436" s="36" t="s">
        <v>99</v>
      </c>
      <c r="G436" s="9" t="s">
        <v>100</v>
      </c>
      <c r="H436" s="3" t="s">
        <v>623</v>
      </c>
      <c r="I436" s="9" t="s">
        <v>100</v>
      </c>
      <c r="J436" s="36" t="s">
        <v>101</v>
      </c>
      <c r="K436" s="10" t="s">
        <v>559</v>
      </c>
      <c r="L436" s="10" t="s">
        <v>559</v>
      </c>
      <c r="M436" s="9" t="s">
        <v>100</v>
      </c>
      <c r="N436" s="10" t="s">
        <v>1077</v>
      </c>
      <c r="O436" s="9" t="s">
        <v>100</v>
      </c>
      <c r="P436" s="10"/>
      <c r="Q436" s="10" t="s">
        <v>1077</v>
      </c>
      <c r="R436" s="10" t="s">
        <v>119</v>
      </c>
      <c r="S436" s="10" t="s">
        <v>130</v>
      </c>
      <c r="T436" s="10" t="s">
        <v>120</v>
      </c>
      <c r="U436" s="10" t="s">
        <v>101</v>
      </c>
      <c r="V436" s="10" t="s">
        <v>121</v>
      </c>
      <c r="W436" s="10" t="s">
        <v>122</v>
      </c>
      <c r="X436" s="10" t="s">
        <v>123</v>
      </c>
      <c r="Y436" s="29">
        <v>1</v>
      </c>
      <c r="Z436" s="138" t="s">
        <v>683</v>
      </c>
      <c r="AA436" s="138">
        <v>44659</v>
      </c>
      <c r="AB436" s="9" t="s">
        <v>114</v>
      </c>
      <c r="AC436" s="9" t="s">
        <v>124</v>
      </c>
      <c r="AD436" s="15">
        <v>45016</v>
      </c>
      <c r="AE436" s="39" t="s">
        <v>125</v>
      </c>
      <c r="AF436" s="177">
        <v>6</v>
      </c>
      <c r="AG436" s="140">
        <v>0</v>
      </c>
      <c r="AH436" s="9">
        <v>0</v>
      </c>
      <c r="AI436" s="10" t="s">
        <v>126</v>
      </c>
      <c r="AJ436" s="10"/>
      <c r="AK436" s="29"/>
      <c r="AL436" s="12">
        <v>3.021917808219178</v>
      </c>
      <c r="AM436" s="10">
        <v>0</v>
      </c>
      <c r="AN436" s="12">
        <f>FAR[[#This Row],[Opening RUL]]+FAR[[#This Row],[RUL Adjustment]]</f>
        <v>3.021917808219178</v>
      </c>
      <c r="AO436" s="12">
        <f>FAR[[#This Row],[Opening RUL 30 June 2026]]-1</f>
        <v>2.021917808219178</v>
      </c>
      <c r="AP436" s="12" t="s">
        <v>1050</v>
      </c>
      <c r="AQ436" s="139"/>
      <c r="AR436" s="10" t="s">
        <v>127</v>
      </c>
      <c r="AS436" s="13">
        <v>4000</v>
      </c>
      <c r="AT436" s="13"/>
      <c r="AU436" s="13"/>
      <c r="AV436" s="13"/>
      <c r="AW436" s="13"/>
      <c r="AX436" s="13">
        <v>4000</v>
      </c>
      <c r="AY436" s="13">
        <v>2014.6118721461187</v>
      </c>
      <c r="AZ436" s="13">
        <v>0</v>
      </c>
      <c r="BA436" s="13"/>
      <c r="BB436" s="13"/>
      <c r="BC436" s="13">
        <v>-1985.3881278538813</v>
      </c>
      <c r="BD436" s="13"/>
      <c r="BE436" s="13" t="s">
        <v>114</v>
      </c>
      <c r="BF436" s="29"/>
      <c r="BG436" s="13"/>
      <c r="BH436" s="13">
        <f>-FAR[[#This Row],[Carrying value (opening balance)]]/FAR[[#This Row],[Opening RUL 30 June 2026]]</f>
        <v>-666.66666666666663</v>
      </c>
      <c r="BI436" s="13">
        <f>FAR[[#This Row],[Depreciation YTD]]/12</f>
        <v>-55.55555555555555</v>
      </c>
      <c r="BJ436" s="13"/>
      <c r="BK436" s="13" t="s">
        <v>116</v>
      </c>
      <c r="BL436" s="13">
        <v>0</v>
      </c>
      <c r="BM436" s="13">
        <f>FAR[[#This Row],[Accumulated depreciation (Opening balance)]]+FAR[[#This Row],[Depreciation YTD]]+FAR[[#This Row],[Derecognitions (acc dep) '[+']]]</f>
        <v>-2652.0547945205481</v>
      </c>
      <c r="BN436" s="13"/>
      <c r="BO436" s="13"/>
      <c r="BP436" s="13"/>
      <c r="BQ436" s="13"/>
      <c r="BR43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36" s="13">
        <f>FAR[[#This Row],[Cost Price (closing balance)]]+FAR[[#This Row],[Accumulated depreciation (Closing balance)]]+FAR[[#This Row],[Accumulated impairments (Closing balance)]]</f>
        <v>1347.9452054794519</v>
      </c>
      <c r="BT436" s="109">
        <f>FAR[[#This Row],[Accumulated depreciation (Opening balance)]]</f>
        <v>-1985.3881278538813</v>
      </c>
      <c r="BU436" s="109"/>
      <c r="BV436" s="109"/>
      <c r="BW436" s="101"/>
      <c r="BX436" s="100"/>
      <c r="BY436" s="10"/>
      <c r="BZ436" t="s">
        <v>945</v>
      </c>
      <c r="CA436"/>
      <c r="CB436" s="34"/>
      <c r="CC436" s="34"/>
      <c r="CD436" s="34"/>
      <c r="CE436" s="141">
        <f>FAR[[#This Row],[Additions capitalised (@actual cost)]]/FAR[[#This Row],[EUL]]</f>
        <v>0</v>
      </c>
    </row>
    <row r="437" spans="1:83">
      <c r="A437" s="35"/>
      <c r="B437" s="9">
        <v>2</v>
      </c>
      <c r="C437" s="9" t="s">
        <v>54</v>
      </c>
      <c r="D437" s="10" t="s">
        <v>1</v>
      </c>
      <c r="E437" s="9" t="s">
        <v>115</v>
      </c>
      <c r="F437" s="36" t="s">
        <v>99</v>
      </c>
      <c r="G437" s="9" t="s">
        <v>100</v>
      </c>
      <c r="H437" s="3" t="s">
        <v>623</v>
      </c>
      <c r="I437" s="9" t="s">
        <v>100</v>
      </c>
      <c r="J437" s="36" t="s">
        <v>101</v>
      </c>
      <c r="K437" s="10" t="s">
        <v>559</v>
      </c>
      <c r="L437" s="10" t="s">
        <v>559</v>
      </c>
      <c r="M437" s="9" t="s">
        <v>100</v>
      </c>
      <c r="N437" s="10" t="s">
        <v>1077</v>
      </c>
      <c r="O437" s="9" t="s">
        <v>100</v>
      </c>
      <c r="P437" s="10"/>
      <c r="Q437" s="10" t="s">
        <v>1077</v>
      </c>
      <c r="R437" s="10" t="s">
        <v>119</v>
      </c>
      <c r="S437" s="10" t="s">
        <v>130</v>
      </c>
      <c r="T437" s="10" t="s">
        <v>120</v>
      </c>
      <c r="U437" s="10" t="s">
        <v>101</v>
      </c>
      <c r="V437" s="10" t="s">
        <v>121</v>
      </c>
      <c r="W437" s="10" t="s">
        <v>122</v>
      </c>
      <c r="X437" s="10" t="s">
        <v>123</v>
      </c>
      <c r="Y437" s="29">
        <v>1</v>
      </c>
      <c r="Z437" s="138" t="s">
        <v>683</v>
      </c>
      <c r="AA437" s="138">
        <v>44659</v>
      </c>
      <c r="AB437" s="9" t="s">
        <v>114</v>
      </c>
      <c r="AC437" s="9" t="s">
        <v>124</v>
      </c>
      <c r="AD437" s="15">
        <v>45016</v>
      </c>
      <c r="AE437" s="39" t="s">
        <v>125</v>
      </c>
      <c r="AF437" s="177">
        <v>6</v>
      </c>
      <c r="AG437" s="140">
        <v>0</v>
      </c>
      <c r="AH437" s="9">
        <v>0</v>
      </c>
      <c r="AI437" s="10" t="s">
        <v>126</v>
      </c>
      <c r="AJ437" s="10"/>
      <c r="AK437" s="29"/>
      <c r="AL437" s="12">
        <v>3.021917808219178</v>
      </c>
      <c r="AM437" s="10">
        <v>0</v>
      </c>
      <c r="AN437" s="12">
        <f>FAR[[#This Row],[Opening RUL]]+FAR[[#This Row],[RUL Adjustment]]</f>
        <v>3.021917808219178</v>
      </c>
      <c r="AO437" s="12">
        <f>FAR[[#This Row],[Opening RUL 30 June 2026]]-1</f>
        <v>2.021917808219178</v>
      </c>
      <c r="AP437" s="12" t="s">
        <v>1050</v>
      </c>
      <c r="AQ437" s="139"/>
      <c r="AR437" s="10" t="s">
        <v>127</v>
      </c>
      <c r="AS437" s="13">
        <v>4000</v>
      </c>
      <c r="AT437" s="13"/>
      <c r="AU437" s="13"/>
      <c r="AV437" s="13"/>
      <c r="AW437" s="13"/>
      <c r="AX437" s="13">
        <v>4000</v>
      </c>
      <c r="AY437" s="13">
        <v>2014.6118721461187</v>
      </c>
      <c r="AZ437" s="13">
        <v>0</v>
      </c>
      <c r="BA437" s="13"/>
      <c r="BB437" s="13"/>
      <c r="BC437" s="13">
        <v>-1985.3881278538813</v>
      </c>
      <c r="BD437" s="13"/>
      <c r="BE437" s="13" t="s">
        <v>114</v>
      </c>
      <c r="BF437" s="29"/>
      <c r="BG437" s="13"/>
      <c r="BH437" s="13">
        <f>-FAR[[#This Row],[Carrying value (opening balance)]]/FAR[[#This Row],[Opening RUL 30 June 2026]]</f>
        <v>-666.66666666666663</v>
      </c>
      <c r="BI437" s="13">
        <f>FAR[[#This Row],[Depreciation YTD]]/12</f>
        <v>-55.55555555555555</v>
      </c>
      <c r="BJ437" s="13"/>
      <c r="BK437" s="13" t="s">
        <v>116</v>
      </c>
      <c r="BL437" s="13">
        <v>0</v>
      </c>
      <c r="BM437" s="13">
        <f>FAR[[#This Row],[Accumulated depreciation (Opening balance)]]+FAR[[#This Row],[Depreciation YTD]]+FAR[[#This Row],[Derecognitions (acc dep) '[+']]]</f>
        <v>-2652.0547945205481</v>
      </c>
      <c r="BN437" s="13"/>
      <c r="BO437" s="13"/>
      <c r="BP437" s="13"/>
      <c r="BQ437" s="13"/>
      <c r="BR43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37" s="13">
        <f>FAR[[#This Row],[Cost Price (closing balance)]]+FAR[[#This Row],[Accumulated depreciation (Closing balance)]]+FAR[[#This Row],[Accumulated impairments (Closing balance)]]</f>
        <v>1347.9452054794519</v>
      </c>
      <c r="BT437" s="13">
        <f>FAR[[#This Row],[Accumulated depreciation (Opening balance)]]</f>
        <v>-1985.3881278538813</v>
      </c>
      <c r="BU437" s="13"/>
      <c r="BV437" s="13"/>
      <c r="BW437" s="10"/>
      <c r="BX437" s="9"/>
      <c r="BY437" s="10"/>
      <c r="BZ437" t="s">
        <v>945</v>
      </c>
      <c r="CA437"/>
      <c r="CB437" s="34"/>
      <c r="CC437" s="34"/>
      <c r="CD437" s="34"/>
      <c r="CE437" s="141">
        <f>FAR[[#This Row],[Additions capitalised (@actual cost)]]/FAR[[#This Row],[EUL]]</f>
        <v>0</v>
      </c>
    </row>
    <row r="438" spans="1:83">
      <c r="A438" s="35"/>
      <c r="B438" s="9">
        <v>2</v>
      </c>
      <c r="C438" s="9" t="s">
        <v>54</v>
      </c>
      <c r="D438" s="10" t="s">
        <v>1</v>
      </c>
      <c r="E438" s="9" t="s">
        <v>115</v>
      </c>
      <c r="F438" s="36" t="s">
        <v>99</v>
      </c>
      <c r="G438" s="9" t="s">
        <v>100</v>
      </c>
      <c r="H438" s="3" t="s">
        <v>623</v>
      </c>
      <c r="I438" s="9" t="s">
        <v>100</v>
      </c>
      <c r="J438" s="36" t="s">
        <v>101</v>
      </c>
      <c r="K438" s="10" t="s">
        <v>559</v>
      </c>
      <c r="L438" s="10" t="s">
        <v>559</v>
      </c>
      <c r="M438" s="9" t="s">
        <v>100</v>
      </c>
      <c r="N438" s="10" t="s">
        <v>1078</v>
      </c>
      <c r="O438" s="9" t="s">
        <v>100</v>
      </c>
      <c r="P438" s="10"/>
      <c r="Q438" s="10" t="s">
        <v>1078</v>
      </c>
      <c r="R438" s="10" t="s">
        <v>119</v>
      </c>
      <c r="S438" s="10" t="s">
        <v>130</v>
      </c>
      <c r="T438" s="10" t="s">
        <v>120</v>
      </c>
      <c r="U438" s="10" t="s">
        <v>101</v>
      </c>
      <c r="V438" s="10" t="s">
        <v>121</v>
      </c>
      <c r="W438" s="10" t="s">
        <v>122</v>
      </c>
      <c r="X438" s="10" t="s">
        <v>123</v>
      </c>
      <c r="Y438" s="29">
        <v>1</v>
      </c>
      <c r="Z438" s="138" t="s">
        <v>683</v>
      </c>
      <c r="AA438" s="138">
        <v>44659</v>
      </c>
      <c r="AB438" s="9" t="s">
        <v>114</v>
      </c>
      <c r="AC438" s="9" t="s">
        <v>124</v>
      </c>
      <c r="AD438" s="15">
        <v>45016</v>
      </c>
      <c r="AE438" s="39" t="s">
        <v>125</v>
      </c>
      <c r="AF438" s="177">
        <v>6</v>
      </c>
      <c r="AG438" s="140">
        <v>0</v>
      </c>
      <c r="AH438" s="9">
        <v>0</v>
      </c>
      <c r="AI438" s="10" t="s">
        <v>126</v>
      </c>
      <c r="AJ438" s="10"/>
      <c r="AK438" s="29"/>
      <c r="AL438" s="12">
        <v>3.021917808219178</v>
      </c>
      <c r="AM438" s="10">
        <v>0</v>
      </c>
      <c r="AN438" s="12">
        <f>FAR[[#This Row],[Opening RUL]]+FAR[[#This Row],[RUL Adjustment]]</f>
        <v>3.021917808219178</v>
      </c>
      <c r="AO438" s="12">
        <f>FAR[[#This Row],[Opening RUL 30 June 2026]]-1</f>
        <v>2.021917808219178</v>
      </c>
      <c r="AP438" s="12" t="s">
        <v>1050</v>
      </c>
      <c r="AQ438" s="139"/>
      <c r="AR438" s="10" t="s">
        <v>127</v>
      </c>
      <c r="AS438" s="13">
        <v>1100</v>
      </c>
      <c r="AT438" s="13"/>
      <c r="AU438" s="13"/>
      <c r="AV438" s="13"/>
      <c r="AW438" s="13"/>
      <c r="AX438" s="13">
        <v>1100</v>
      </c>
      <c r="AY438" s="13">
        <v>554.0182648401825</v>
      </c>
      <c r="AZ438" s="13">
        <v>0</v>
      </c>
      <c r="BA438" s="13"/>
      <c r="BB438" s="13"/>
      <c r="BC438" s="13">
        <v>-545.9817351598175</v>
      </c>
      <c r="BD438" s="13"/>
      <c r="BE438" s="13" t="s">
        <v>114</v>
      </c>
      <c r="BF438" s="29"/>
      <c r="BG438" s="13"/>
      <c r="BH438" s="13">
        <f>-FAR[[#This Row],[Carrying value (opening balance)]]/FAR[[#This Row],[Opening RUL 30 June 2026]]</f>
        <v>-183.33333333333329</v>
      </c>
      <c r="BI438" s="13">
        <f>FAR[[#This Row],[Depreciation YTD]]/12</f>
        <v>-15.277777777777773</v>
      </c>
      <c r="BJ438" s="13"/>
      <c r="BK438" s="13" t="s">
        <v>116</v>
      </c>
      <c r="BL438" s="13">
        <v>0</v>
      </c>
      <c r="BM438" s="13">
        <f>FAR[[#This Row],[Accumulated depreciation (Opening balance)]]+FAR[[#This Row],[Depreciation YTD]]+FAR[[#This Row],[Derecognitions (acc dep) '[+']]]</f>
        <v>-729.31506849315076</v>
      </c>
      <c r="BN438" s="13"/>
      <c r="BO438" s="13"/>
      <c r="BP438" s="13"/>
      <c r="BQ438" s="13"/>
      <c r="BR43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38" s="13">
        <f>FAR[[#This Row],[Cost Price (closing balance)]]+FAR[[#This Row],[Accumulated depreciation (Closing balance)]]+FAR[[#This Row],[Accumulated impairments (Closing balance)]]</f>
        <v>370.68493150684924</v>
      </c>
      <c r="BT438" s="13">
        <f>FAR[[#This Row],[Accumulated depreciation (Opening balance)]]</f>
        <v>-545.9817351598175</v>
      </c>
      <c r="BU438" s="13"/>
      <c r="BV438" s="13"/>
      <c r="BW438" s="10"/>
      <c r="BX438" s="9"/>
      <c r="BY438" s="10"/>
      <c r="BZ438" t="s">
        <v>945</v>
      </c>
      <c r="CA438"/>
      <c r="CB438" s="34"/>
      <c r="CC438" s="34"/>
      <c r="CD438" s="34"/>
      <c r="CE438" s="141">
        <f>FAR[[#This Row],[Additions capitalised (@actual cost)]]/FAR[[#This Row],[EUL]]</f>
        <v>0</v>
      </c>
    </row>
    <row r="439" spans="1:83">
      <c r="A439" s="35">
        <v>1544</v>
      </c>
      <c r="B439" s="9" t="s">
        <v>874</v>
      </c>
      <c r="C439" s="9" t="s">
        <v>54</v>
      </c>
      <c r="D439" s="10" t="s">
        <v>1</v>
      </c>
      <c r="E439" s="9" t="s">
        <v>115</v>
      </c>
      <c r="F439" s="36" t="s">
        <v>99</v>
      </c>
      <c r="G439" s="9" t="s">
        <v>100</v>
      </c>
      <c r="H439" s="3" t="s">
        <v>623</v>
      </c>
      <c r="I439" s="9" t="s">
        <v>100</v>
      </c>
      <c r="J439" s="36" t="s">
        <v>101</v>
      </c>
      <c r="K439" s="10" t="s">
        <v>559</v>
      </c>
      <c r="L439" s="10" t="s">
        <v>559</v>
      </c>
      <c r="M439" s="9" t="s">
        <v>100</v>
      </c>
      <c r="N439" s="10" t="s">
        <v>656</v>
      </c>
      <c r="O439" s="9" t="s">
        <v>100</v>
      </c>
      <c r="P439" s="10"/>
      <c r="Q439" s="10" t="s">
        <v>656</v>
      </c>
      <c r="R439" s="10" t="s">
        <v>119</v>
      </c>
      <c r="S439" s="10" t="s">
        <v>130</v>
      </c>
      <c r="T439" s="10" t="s">
        <v>120</v>
      </c>
      <c r="U439" s="10" t="s">
        <v>101</v>
      </c>
      <c r="V439" s="10" t="s">
        <v>121</v>
      </c>
      <c r="W439" s="10" t="s">
        <v>122</v>
      </c>
      <c r="X439" s="10" t="s">
        <v>123</v>
      </c>
      <c r="Y439" s="29">
        <v>1</v>
      </c>
      <c r="Z439" s="138" t="s">
        <v>683</v>
      </c>
      <c r="AA439" s="138">
        <v>44659</v>
      </c>
      <c r="AB439" s="9" t="s">
        <v>114</v>
      </c>
      <c r="AC439" s="9" t="s">
        <v>124</v>
      </c>
      <c r="AD439" s="15">
        <v>45016</v>
      </c>
      <c r="AE439" s="39" t="s">
        <v>125</v>
      </c>
      <c r="AF439" s="177">
        <v>6</v>
      </c>
      <c r="AG439" s="140">
        <v>0</v>
      </c>
      <c r="AH439" s="9">
        <v>0</v>
      </c>
      <c r="AI439" s="10" t="s">
        <v>126</v>
      </c>
      <c r="AJ439" s="10"/>
      <c r="AK439" s="29"/>
      <c r="AL439" s="12">
        <v>3.021917808219178</v>
      </c>
      <c r="AM439" s="10">
        <v>0</v>
      </c>
      <c r="AN439" s="12">
        <f>FAR[[#This Row],[Opening RUL]]+FAR[[#This Row],[RUL Adjustment]]</f>
        <v>3.021917808219178</v>
      </c>
      <c r="AO439" s="12">
        <f>FAR[[#This Row],[Opening RUL 30 June 2026]]-1</f>
        <v>2.021917808219178</v>
      </c>
      <c r="AP439" s="12" t="s">
        <v>1050</v>
      </c>
      <c r="AQ439" s="139"/>
      <c r="AR439" s="10" t="s">
        <v>127</v>
      </c>
      <c r="AS439" s="13">
        <v>18000</v>
      </c>
      <c r="AT439" s="13"/>
      <c r="AU439" s="13"/>
      <c r="AV439" s="13"/>
      <c r="AW439" s="13"/>
      <c r="AX439" s="13">
        <v>18000</v>
      </c>
      <c r="AY439" s="13">
        <v>9065.7534246575342</v>
      </c>
      <c r="AZ439" s="13">
        <v>0</v>
      </c>
      <c r="BA439" s="13"/>
      <c r="BB439" s="13"/>
      <c r="BC439" s="13">
        <v>-8934.2465753424658</v>
      </c>
      <c r="BD439" s="13"/>
      <c r="BE439" s="13" t="s">
        <v>114</v>
      </c>
      <c r="BF439" s="29"/>
      <c r="BG439" s="13"/>
      <c r="BH439" s="13">
        <f>-FAR[[#This Row],[Carrying value (opening balance)]]/FAR[[#This Row],[Opening RUL 30 June 2026]]</f>
        <v>-3000</v>
      </c>
      <c r="BI439" s="13">
        <f>FAR[[#This Row],[Depreciation YTD]]/12</f>
        <v>-250</v>
      </c>
      <c r="BJ439" s="13"/>
      <c r="BK439" s="13" t="s">
        <v>116</v>
      </c>
      <c r="BL439" s="13">
        <v>0</v>
      </c>
      <c r="BM439" s="13">
        <f>FAR[[#This Row],[Accumulated depreciation (Opening balance)]]+FAR[[#This Row],[Depreciation YTD]]+FAR[[#This Row],[Derecognitions (acc dep) '[+']]]</f>
        <v>-11934.246575342466</v>
      </c>
      <c r="BN439" s="13"/>
      <c r="BO439" s="13"/>
      <c r="BP439" s="13"/>
      <c r="BQ439" s="13"/>
      <c r="BR43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39" s="13">
        <f>FAR[[#This Row],[Cost Price (closing balance)]]+FAR[[#This Row],[Accumulated depreciation (Closing balance)]]+FAR[[#This Row],[Accumulated impairments (Closing balance)]]</f>
        <v>6065.7534246575342</v>
      </c>
      <c r="BT439" s="13">
        <f>FAR[[#This Row],[Accumulated depreciation (Opening balance)]]</f>
        <v>-8934.2465753424658</v>
      </c>
      <c r="BU439" s="13"/>
      <c r="BV439" s="13"/>
      <c r="BW439" s="10"/>
      <c r="BX439" s="9"/>
      <c r="BY439" s="10"/>
      <c r="BZ439" t="s">
        <v>976</v>
      </c>
      <c r="CA439"/>
      <c r="CB439" s="34"/>
      <c r="CC439" s="34"/>
      <c r="CD439" s="34"/>
      <c r="CE439" s="141">
        <f>FAR[[#This Row],[Additions capitalised (@actual cost)]]/FAR[[#This Row],[EUL]]</f>
        <v>0</v>
      </c>
    </row>
    <row r="440" spans="1:83">
      <c r="A440" s="35">
        <v>1510</v>
      </c>
      <c r="B440" s="9" t="s">
        <v>917</v>
      </c>
      <c r="C440" s="9" t="s">
        <v>54</v>
      </c>
      <c r="D440" s="10" t="s">
        <v>1</v>
      </c>
      <c r="E440" s="9" t="s">
        <v>115</v>
      </c>
      <c r="F440" s="36" t="s">
        <v>99</v>
      </c>
      <c r="G440" s="9" t="s">
        <v>100</v>
      </c>
      <c r="H440" s="3" t="s">
        <v>623</v>
      </c>
      <c r="I440" s="9" t="s">
        <v>100</v>
      </c>
      <c r="J440" s="36" t="s">
        <v>101</v>
      </c>
      <c r="K440" s="10" t="s">
        <v>559</v>
      </c>
      <c r="L440" s="10" t="s">
        <v>559</v>
      </c>
      <c r="M440" s="9" t="s">
        <v>100</v>
      </c>
      <c r="N440" s="10" t="s">
        <v>657</v>
      </c>
      <c r="O440" s="9" t="s">
        <v>100</v>
      </c>
      <c r="P440" s="10"/>
      <c r="Q440" s="10" t="s">
        <v>657</v>
      </c>
      <c r="R440" s="10" t="s">
        <v>119</v>
      </c>
      <c r="S440" s="10" t="s">
        <v>130</v>
      </c>
      <c r="T440" s="10" t="s">
        <v>120</v>
      </c>
      <c r="U440" s="10" t="s">
        <v>101</v>
      </c>
      <c r="V440" s="10" t="s">
        <v>121</v>
      </c>
      <c r="W440" s="10" t="s">
        <v>122</v>
      </c>
      <c r="X440" s="10" t="s">
        <v>123</v>
      </c>
      <c r="Y440" s="29">
        <v>1</v>
      </c>
      <c r="Z440" s="138" t="s">
        <v>683</v>
      </c>
      <c r="AA440" s="138">
        <v>44659</v>
      </c>
      <c r="AB440" s="9" t="s">
        <v>114</v>
      </c>
      <c r="AC440" s="9" t="s">
        <v>124</v>
      </c>
      <c r="AD440" s="15">
        <v>45016</v>
      </c>
      <c r="AE440" s="39" t="s">
        <v>125</v>
      </c>
      <c r="AF440" s="177">
        <v>6</v>
      </c>
      <c r="AG440" s="140">
        <v>0</v>
      </c>
      <c r="AH440" s="9">
        <v>0</v>
      </c>
      <c r="AI440" s="10" t="s">
        <v>126</v>
      </c>
      <c r="AJ440" s="10"/>
      <c r="AK440" s="29"/>
      <c r="AL440" s="12">
        <v>3.021917808219178</v>
      </c>
      <c r="AM440" s="10">
        <v>0</v>
      </c>
      <c r="AN440" s="12">
        <f>FAR[[#This Row],[Opening RUL]]+FAR[[#This Row],[RUL Adjustment]]</f>
        <v>3.021917808219178</v>
      </c>
      <c r="AO440" s="12">
        <f>FAR[[#This Row],[Opening RUL 30 June 2026]]-1</f>
        <v>2.021917808219178</v>
      </c>
      <c r="AP440" s="12" t="s">
        <v>1050</v>
      </c>
      <c r="AQ440" s="139"/>
      <c r="AR440" s="10" t="s">
        <v>127</v>
      </c>
      <c r="AS440" s="13">
        <v>18000</v>
      </c>
      <c r="AT440" s="13"/>
      <c r="AU440" s="13"/>
      <c r="AV440" s="13"/>
      <c r="AW440" s="13"/>
      <c r="AX440" s="13">
        <v>18000</v>
      </c>
      <c r="AY440" s="13">
        <v>9065.7534246575342</v>
      </c>
      <c r="AZ440" s="13">
        <v>0</v>
      </c>
      <c r="BA440" s="13"/>
      <c r="BB440" s="13"/>
      <c r="BC440" s="13">
        <v>-8934.2465753424658</v>
      </c>
      <c r="BD440" s="13"/>
      <c r="BE440" s="13" t="s">
        <v>114</v>
      </c>
      <c r="BF440" s="29"/>
      <c r="BG440" s="13"/>
      <c r="BH440" s="13">
        <f>-FAR[[#This Row],[Carrying value (opening balance)]]/FAR[[#This Row],[Opening RUL 30 June 2026]]</f>
        <v>-3000</v>
      </c>
      <c r="BI440" s="13">
        <f>FAR[[#This Row],[Depreciation YTD]]/12</f>
        <v>-250</v>
      </c>
      <c r="BJ440" s="13"/>
      <c r="BK440" s="13" t="s">
        <v>116</v>
      </c>
      <c r="BL440" s="13">
        <v>0</v>
      </c>
      <c r="BM440" s="13">
        <f>FAR[[#This Row],[Accumulated depreciation (Opening balance)]]+FAR[[#This Row],[Depreciation YTD]]+FAR[[#This Row],[Derecognitions (acc dep) '[+']]]</f>
        <v>-11934.246575342466</v>
      </c>
      <c r="BN440" s="13"/>
      <c r="BO440" s="13"/>
      <c r="BP440" s="13"/>
      <c r="BQ440" s="13"/>
      <c r="BR44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40" s="13">
        <f>FAR[[#This Row],[Cost Price (closing balance)]]+FAR[[#This Row],[Accumulated depreciation (Closing balance)]]+FAR[[#This Row],[Accumulated impairments (Closing balance)]]</f>
        <v>6065.7534246575342</v>
      </c>
      <c r="BT440" s="13">
        <f>FAR[[#This Row],[Accumulated depreciation (Opening balance)]]</f>
        <v>-8934.2465753424658</v>
      </c>
      <c r="BU440" s="13"/>
      <c r="BV440" s="13"/>
      <c r="BW440" s="10"/>
      <c r="BX440" s="9"/>
      <c r="BY440" s="10"/>
      <c r="BZ440" t="s">
        <v>938</v>
      </c>
      <c r="CA440"/>
      <c r="CB440" s="34"/>
      <c r="CC440" s="34"/>
      <c r="CD440" s="34"/>
      <c r="CE440" s="141">
        <f>FAR[[#This Row],[Additions capitalised (@actual cost)]]/FAR[[#This Row],[EUL]]</f>
        <v>0</v>
      </c>
    </row>
    <row r="441" spans="1:83">
      <c r="A441" s="35">
        <v>1513</v>
      </c>
      <c r="B441" s="9">
        <v>0</v>
      </c>
      <c r="C441" s="9" t="s">
        <v>54</v>
      </c>
      <c r="D441" s="10" t="s">
        <v>1</v>
      </c>
      <c r="E441" s="9" t="s">
        <v>115</v>
      </c>
      <c r="F441" s="36" t="s">
        <v>99</v>
      </c>
      <c r="G441" s="9" t="s">
        <v>100</v>
      </c>
      <c r="H441" s="3" t="s">
        <v>623</v>
      </c>
      <c r="I441" s="9" t="s">
        <v>100</v>
      </c>
      <c r="J441" s="36" t="s">
        <v>101</v>
      </c>
      <c r="K441" s="10" t="s">
        <v>559</v>
      </c>
      <c r="L441" s="10" t="s">
        <v>559</v>
      </c>
      <c r="M441" s="9" t="s">
        <v>100</v>
      </c>
      <c r="N441" s="10" t="s">
        <v>658</v>
      </c>
      <c r="O441" s="9" t="s">
        <v>100</v>
      </c>
      <c r="P441" s="10"/>
      <c r="Q441" s="10" t="s">
        <v>658</v>
      </c>
      <c r="R441" s="10" t="s">
        <v>119</v>
      </c>
      <c r="S441" s="10" t="s">
        <v>130</v>
      </c>
      <c r="T441" s="10" t="s">
        <v>120</v>
      </c>
      <c r="U441" s="10" t="s">
        <v>101</v>
      </c>
      <c r="V441" s="10" t="s">
        <v>121</v>
      </c>
      <c r="W441" s="10" t="s">
        <v>122</v>
      </c>
      <c r="X441" s="10" t="s">
        <v>123</v>
      </c>
      <c r="Y441" s="29">
        <v>1</v>
      </c>
      <c r="Z441" s="138" t="s">
        <v>683</v>
      </c>
      <c r="AA441" s="138">
        <v>44659</v>
      </c>
      <c r="AB441" s="9" t="s">
        <v>114</v>
      </c>
      <c r="AC441" s="9" t="s">
        <v>124</v>
      </c>
      <c r="AD441" s="15">
        <v>45016</v>
      </c>
      <c r="AE441" s="39" t="s">
        <v>125</v>
      </c>
      <c r="AF441" s="177">
        <v>6</v>
      </c>
      <c r="AG441" s="140">
        <v>0</v>
      </c>
      <c r="AH441" s="9">
        <v>0</v>
      </c>
      <c r="AI441" s="10" t="s">
        <v>126</v>
      </c>
      <c r="AJ441" s="10"/>
      <c r="AK441" s="29"/>
      <c r="AL441" s="12">
        <v>3.021917808219178</v>
      </c>
      <c r="AM441" s="10">
        <v>0</v>
      </c>
      <c r="AN441" s="12">
        <f>FAR[[#This Row],[Opening RUL]]+FAR[[#This Row],[RUL Adjustment]]</f>
        <v>3.021917808219178</v>
      </c>
      <c r="AO441" s="12">
        <f>FAR[[#This Row],[Opening RUL 30 June 2026]]-1</f>
        <v>2.021917808219178</v>
      </c>
      <c r="AP441" s="12">
        <v>0</v>
      </c>
      <c r="AQ441" s="139"/>
      <c r="AR441" s="10" t="s">
        <v>127</v>
      </c>
      <c r="AS441" s="13">
        <v>28500</v>
      </c>
      <c r="AT441" s="13"/>
      <c r="AU441" s="13"/>
      <c r="AV441" s="13"/>
      <c r="AW441" s="13"/>
      <c r="AX441" s="13">
        <v>28500</v>
      </c>
      <c r="AY441" s="13">
        <v>14354.109589041094</v>
      </c>
      <c r="AZ441" s="13">
        <v>0</v>
      </c>
      <c r="BA441" s="13"/>
      <c r="BB441" s="13"/>
      <c r="BC441" s="13">
        <v>-14145.890410958906</v>
      </c>
      <c r="BD441" s="13"/>
      <c r="BE441" s="13" t="s">
        <v>114</v>
      </c>
      <c r="BF441" s="29"/>
      <c r="BG441" s="13"/>
      <c r="BH441" s="13">
        <f>-FAR[[#This Row],[Carrying value (opening balance)]]/FAR[[#This Row],[Opening RUL 30 June 2026]]</f>
        <v>-4750</v>
      </c>
      <c r="BI441" s="13">
        <f>FAR[[#This Row],[Depreciation YTD]]/12</f>
        <v>-395.83333333333331</v>
      </c>
      <c r="BJ441" s="13"/>
      <c r="BK441" s="13" t="s">
        <v>116</v>
      </c>
      <c r="BL441" s="13">
        <v>0</v>
      </c>
      <c r="BM441" s="13">
        <f>FAR[[#This Row],[Accumulated depreciation (Opening balance)]]+FAR[[#This Row],[Depreciation YTD]]+FAR[[#This Row],[Derecognitions (acc dep) '[+']]]</f>
        <v>-18895.890410958906</v>
      </c>
      <c r="BN441" s="13"/>
      <c r="BO441" s="13"/>
      <c r="BP441" s="13"/>
      <c r="BQ441" s="13"/>
      <c r="BR44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41" s="13">
        <f>FAR[[#This Row],[Cost Price (closing balance)]]+FAR[[#This Row],[Accumulated depreciation (Closing balance)]]+FAR[[#This Row],[Accumulated impairments (Closing balance)]]</f>
        <v>9604.1095890410943</v>
      </c>
      <c r="BT441" s="13">
        <f>FAR[[#This Row],[Accumulated depreciation (Opening balance)]]</f>
        <v>-14145.890410958906</v>
      </c>
      <c r="BU441" s="13"/>
      <c r="BV441" s="13"/>
      <c r="BW441" s="10"/>
      <c r="BX441" s="9"/>
      <c r="BY441" s="10"/>
      <c r="BZ441">
        <v>0</v>
      </c>
      <c r="CA441"/>
      <c r="CB441" s="34"/>
      <c r="CC441" s="34"/>
      <c r="CD441" s="34"/>
      <c r="CE441" s="141">
        <f>FAR[[#This Row],[Additions capitalised (@actual cost)]]/FAR[[#This Row],[EUL]]</f>
        <v>0</v>
      </c>
    </row>
    <row r="442" spans="1:83">
      <c r="A442" s="35">
        <v>1683</v>
      </c>
      <c r="B442" s="9">
        <v>0</v>
      </c>
      <c r="C442" s="9" t="s">
        <v>54</v>
      </c>
      <c r="D442" s="10" t="s">
        <v>1</v>
      </c>
      <c r="E442" s="9" t="s">
        <v>115</v>
      </c>
      <c r="F442" s="36" t="s">
        <v>99</v>
      </c>
      <c r="G442" s="9" t="s">
        <v>100</v>
      </c>
      <c r="H442" s="3" t="s">
        <v>623</v>
      </c>
      <c r="I442" s="9" t="s">
        <v>100</v>
      </c>
      <c r="J442" s="36" t="s">
        <v>101</v>
      </c>
      <c r="K442" s="10" t="s">
        <v>559</v>
      </c>
      <c r="L442" s="10" t="s">
        <v>559</v>
      </c>
      <c r="M442" s="9" t="s">
        <v>100</v>
      </c>
      <c r="N442" s="10" t="s">
        <v>658</v>
      </c>
      <c r="O442" s="9" t="s">
        <v>100</v>
      </c>
      <c r="P442" s="10"/>
      <c r="Q442" s="10" t="s">
        <v>658</v>
      </c>
      <c r="R442" s="10" t="s">
        <v>119</v>
      </c>
      <c r="S442" s="10" t="s">
        <v>130</v>
      </c>
      <c r="T442" s="10" t="s">
        <v>120</v>
      </c>
      <c r="U442" s="10" t="s">
        <v>101</v>
      </c>
      <c r="V442" s="10" t="s">
        <v>121</v>
      </c>
      <c r="W442" s="10" t="s">
        <v>122</v>
      </c>
      <c r="X442" s="10" t="s">
        <v>123</v>
      </c>
      <c r="Y442" s="29">
        <v>1</v>
      </c>
      <c r="Z442" s="138" t="s">
        <v>683</v>
      </c>
      <c r="AA442" s="138">
        <v>44659</v>
      </c>
      <c r="AB442" s="9" t="s">
        <v>114</v>
      </c>
      <c r="AC442" s="9" t="s">
        <v>124</v>
      </c>
      <c r="AD442" s="15">
        <v>45016</v>
      </c>
      <c r="AE442" s="39" t="s">
        <v>125</v>
      </c>
      <c r="AF442" s="177">
        <v>6</v>
      </c>
      <c r="AG442" s="140">
        <v>0</v>
      </c>
      <c r="AH442" s="9">
        <v>0</v>
      </c>
      <c r="AI442" s="10" t="s">
        <v>126</v>
      </c>
      <c r="AJ442" s="10"/>
      <c r="AK442" s="29"/>
      <c r="AL442" s="12">
        <v>3.021917808219178</v>
      </c>
      <c r="AM442" s="10">
        <v>0</v>
      </c>
      <c r="AN442" s="12">
        <f>FAR[[#This Row],[Opening RUL]]+FAR[[#This Row],[RUL Adjustment]]</f>
        <v>3.021917808219178</v>
      </c>
      <c r="AO442" s="12">
        <f>FAR[[#This Row],[Opening RUL 30 June 2026]]-1</f>
        <v>2.021917808219178</v>
      </c>
      <c r="AP442" s="12">
        <v>0</v>
      </c>
      <c r="AQ442" s="139"/>
      <c r="AR442" s="10" t="s">
        <v>127</v>
      </c>
      <c r="AS442" s="13">
        <v>28500</v>
      </c>
      <c r="AT442" s="13"/>
      <c r="AU442" s="13"/>
      <c r="AV442" s="13"/>
      <c r="AW442" s="13"/>
      <c r="AX442" s="13">
        <v>28500</v>
      </c>
      <c r="AY442" s="13">
        <v>14354.109589041094</v>
      </c>
      <c r="AZ442" s="13">
        <v>0</v>
      </c>
      <c r="BA442" s="13"/>
      <c r="BB442" s="13"/>
      <c r="BC442" s="13">
        <v>-14145.890410958906</v>
      </c>
      <c r="BD442" s="13"/>
      <c r="BE442" s="13" t="s">
        <v>114</v>
      </c>
      <c r="BF442" s="29"/>
      <c r="BG442" s="13"/>
      <c r="BH442" s="13">
        <f>-FAR[[#This Row],[Carrying value (opening balance)]]/FAR[[#This Row],[Opening RUL 30 June 2026]]</f>
        <v>-4750</v>
      </c>
      <c r="BI442" s="13">
        <f>FAR[[#This Row],[Depreciation YTD]]/12</f>
        <v>-395.83333333333331</v>
      </c>
      <c r="BJ442" s="13"/>
      <c r="BK442" s="13" t="s">
        <v>116</v>
      </c>
      <c r="BL442" s="13">
        <v>0</v>
      </c>
      <c r="BM442" s="13">
        <f>FAR[[#This Row],[Accumulated depreciation (Opening balance)]]+FAR[[#This Row],[Depreciation YTD]]+FAR[[#This Row],[Derecognitions (acc dep) '[+']]]</f>
        <v>-18895.890410958906</v>
      </c>
      <c r="BN442" s="13"/>
      <c r="BO442" s="13"/>
      <c r="BP442" s="13"/>
      <c r="BQ442" s="13"/>
      <c r="BR44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42" s="13">
        <f>FAR[[#This Row],[Cost Price (closing balance)]]+FAR[[#This Row],[Accumulated depreciation (Closing balance)]]+FAR[[#This Row],[Accumulated impairments (Closing balance)]]</f>
        <v>9604.1095890410943</v>
      </c>
      <c r="BT442" s="13">
        <f>FAR[[#This Row],[Accumulated depreciation (Opening balance)]]</f>
        <v>-14145.890410958906</v>
      </c>
      <c r="BU442" s="13"/>
      <c r="BV442" s="13"/>
      <c r="BW442" s="10"/>
      <c r="BX442" s="9"/>
      <c r="BY442" s="10"/>
      <c r="BZ442">
        <v>0</v>
      </c>
      <c r="CA442"/>
      <c r="CB442" s="34"/>
      <c r="CC442" s="34"/>
      <c r="CD442" s="34"/>
      <c r="CE442" s="141">
        <f>FAR[[#This Row],[Additions capitalised (@actual cost)]]/FAR[[#This Row],[EUL]]</f>
        <v>0</v>
      </c>
    </row>
    <row r="443" spans="1:83">
      <c r="A443" s="35" t="s">
        <v>692</v>
      </c>
      <c r="B443" s="9" t="s">
        <v>918</v>
      </c>
      <c r="C443" s="9" t="s">
        <v>54</v>
      </c>
      <c r="D443" s="10" t="s">
        <v>1</v>
      </c>
      <c r="E443" s="9" t="s">
        <v>115</v>
      </c>
      <c r="F443" s="36" t="s">
        <v>99</v>
      </c>
      <c r="G443" s="9" t="s">
        <v>100</v>
      </c>
      <c r="H443" s="3" t="s">
        <v>103</v>
      </c>
      <c r="I443" s="9" t="s">
        <v>100</v>
      </c>
      <c r="J443" s="36" t="s">
        <v>101</v>
      </c>
      <c r="K443" s="10" t="s">
        <v>559</v>
      </c>
      <c r="L443" s="10" t="s">
        <v>559</v>
      </c>
      <c r="M443" s="9" t="s">
        <v>100</v>
      </c>
      <c r="N443" s="10" t="s">
        <v>746</v>
      </c>
      <c r="O443" s="9" t="s">
        <v>100</v>
      </c>
      <c r="P443" s="10"/>
      <c r="Q443" s="10" t="s">
        <v>746</v>
      </c>
      <c r="R443" s="10" t="s">
        <v>119</v>
      </c>
      <c r="S443" s="10" t="s">
        <v>130</v>
      </c>
      <c r="T443" s="10" t="s">
        <v>120</v>
      </c>
      <c r="U443" s="10" t="s">
        <v>101</v>
      </c>
      <c r="V443" s="10" t="s">
        <v>121</v>
      </c>
      <c r="W443" s="10" t="s">
        <v>122</v>
      </c>
      <c r="X443" s="10" t="s">
        <v>123</v>
      </c>
      <c r="Y443" s="29">
        <v>1</v>
      </c>
      <c r="Z443" s="138" t="s">
        <v>764</v>
      </c>
      <c r="AA443" s="138">
        <v>44789</v>
      </c>
      <c r="AB443" s="9" t="s">
        <v>114</v>
      </c>
      <c r="AC443" s="9" t="s">
        <v>124</v>
      </c>
      <c r="AD443" s="15">
        <v>45016</v>
      </c>
      <c r="AE443" s="39" t="s">
        <v>125</v>
      </c>
      <c r="AF443" s="177">
        <v>3</v>
      </c>
      <c r="AG443" s="140">
        <v>0</v>
      </c>
      <c r="AH443" s="9">
        <v>0</v>
      </c>
      <c r="AI443" s="10" t="s">
        <v>126</v>
      </c>
      <c r="AJ443" s="10"/>
      <c r="AK443" s="29"/>
      <c r="AL443" s="12">
        <v>0.37808219178082192</v>
      </c>
      <c r="AM443" s="10">
        <v>0</v>
      </c>
      <c r="AN443" s="12">
        <f>FAR[[#This Row],[Opening RUL]]+FAR[[#This Row],[RUL Adjustment]]</f>
        <v>0.37808219178082192</v>
      </c>
      <c r="AO443" s="12">
        <f>FAR[[#This Row],[Opening RUL 30 June 2026]]-1</f>
        <v>-0.62191780821917808</v>
      </c>
      <c r="AP443" s="12" t="s">
        <v>1051</v>
      </c>
      <c r="AQ443" s="139"/>
      <c r="AR443" s="10" t="s">
        <v>127</v>
      </c>
      <c r="AS443" s="13">
        <v>30852.01</v>
      </c>
      <c r="AT443" s="13"/>
      <c r="AU443" s="13"/>
      <c r="AV443" s="13"/>
      <c r="AW443" s="13"/>
      <c r="AX443" s="13">
        <v>30852.01</v>
      </c>
      <c r="AY443" s="13">
        <v>3888.1985205479468</v>
      </c>
      <c r="AZ443" s="13">
        <v>0</v>
      </c>
      <c r="BA443" s="13"/>
      <c r="BB443" s="13"/>
      <c r="BC443" s="13">
        <v>-26963.811479452052</v>
      </c>
      <c r="BD443" s="13"/>
      <c r="BE443" s="13" t="s">
        <v>114</v>
      </c>
      <c r="BF443" s="29"/>
      <c r="BG443" s="13"/>
      <c r="BH443" s="13">
        <f>-FAR[[#This Row],[Carrying value (opening balance)]]/FAR[[#This Row],[Opening RUL 30 June 2026]]</f>
        <v>-10284.003333333338</v>
      </c>
      <c r="BI443" s="13">
        <f>FAR[[#This Row],[Depreciation YTD]]/12</f>
        <v>-857.00027777777814</v>
      </c>
      <c r="BJ443" s="13"/>
      <c r="BK443" s="13" t="s">
        <v>116</v>
      </c>
      <c r="BL443" s="13">
        <v>0</v>
      </c>
      <c r="BM443" s="13">
        <f>FAR[[#This Row],[Accumulated depreciation (Opening balance)]]+FAR[[#This Row],[Depreciation YTD]]+FAR[[#This Row],[Derecognitions (acc dep) '[+']]]</f>
        <v>-37247.814812785393</v>
      </c>
      <c r="BN443" s="13"/>
      <c r="BO443" s="13"/>
      <c r="BP443" s="13"/>
      <c r="BQ443" s="13"/>
      <c r="BR44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43" s="13">
        <f>FAR[[#This Row],[Cost Price (closing balance)]]+FAR[[#This Row],[Accumulated depreciation (Closing balance)]]+FAR[[#This Row],[Accumulated impairments (Closing balance)]]</f>
        <v>-6395.8048127853945</v>
      </c>
      <c r="BT443" s="13">
        <f>FAR[[#This Row],[Accumulated depreciation (Opening balance)]]</f>
        <v>-26963.811479452052</v>
      </c>
      <c r="BU443" s="13"/>
      <c r="BV443" s="13"/>
      <c r="BW443" s="10"/>
      <c r="BX443" s="9"/>
      <c r="BY443" s="10"/>
      <c r="BZ443" t="s">
        <v>1023</v>
      </c>
      <c r="CA443"/>
      <c r="CB443" s="34"/>
      <c r="CC443" s="34"/>
      <c r="CD443" s="34"/>
      <c r="CE443" s="141">
        <f>FAR[[#This Row],[Additions capitalised (@actual cost)]]/FAR[[#This Row],[EUL]]</f>
        <v>0</v>
      </c>
    </row>
    <row r="444" spans="1:83">
      <c r="A444" s="35" t="s">
        <v>693</v>
      </c>
      <c r="B444" s="9" t="s">
        <v>886</v>
      </c>
      <c r="C444" s="9" t="s">
        <v>54</v>
      </c>
      <c r="D444" s="10" t="s">
        <v>1</v>
      </c>
      <c r="E444" s="9" t="s">
        <v>115</v>
      </c>
      <c r="F444" s="36" t="s">
        <v>99</v>
      </c>
      <c r="G444" s="9" t="s">
        <v>100</v>
      </c>
      <c r="H444" s="3" t="s">
        <v>103</v>
      </c>
      <c r="I444" s="9" t="s">
        <v>100</v>
      </c>
      <c r="J444" s="36" t="s">
        <v>101</v>
      </c>
      <c r="K444" s="10" t="s">
        <v>559</v>
      </c>
      <c r="L444" s="10" t="s">
        <v>559</v>
      </c>
      <c r="M444" s="9" t="s">
        <v>100</v>
      </c>
      <c r="N444" s="10" t="s">
        <v>746</v>
      </c>
      <c r="O444" s="9" t="s">
        <v>100</v>
      </c>
      <c r="P444" s="10"/>
      <c r="Q444" s="10" t="s">
        <v>746</v>
      </c>
      <c r="R444" s="10" t="s">
        <v>119</v>
      </c>
      <c r="S444" s="10" t="s">
        <v>130</v>
      </c>
      <c r="T444" s="10" t="s">
        <v>120</v>
      </c>
      <c r="U444" s="10" t="s">
        <v>101</v>
      </c>
      <c r="V444" s="10" t="s">
        <v>121</v>
      </c>
      <c r="W444" s="10" t="s">
        <v>122</v>
      </c>
      <c r="X444" s="10" t="s">
        <v>123</v>
      </c>
      <c r="Y444" s="29">
        <v>1</v>
      </c>
      <c r="Z444" s="138" t="s">
        <v>764</v>
      </c>
      <c r="AA444" s="138">
        <v>44789</v>
      </c>
      <c r="AB444" s="9" t="s">
        <v>114</v>
      </c>
      <c r="AC444" s="9" t="s">
        <v>124</v>
      </c>
      <c r="AD444" s="15">
        <v>45016</v>
      </c>
      <c r="AE444" s="39" t="s">
        <v>125</v>
      </c>
      <c r="AF444" s="177">
        <v>3</v>
      </c>
      <c r="AG444" s="140">
        <v>0</v>
      </c>
      <c r="AH444" s="9">
        <v>0</v>
      </c>
      <c r="AI444" s="10" t="s">
        <v>126</v>
      </c>
      <c r="AJ444" s="10"/>
      <c r="AK444" s="29"/>
      <c r="AL444" s="12">
        <v>0.37808219178082192</v>
      </c>
      <c r="AM444" s="10">
        <v>0</v>
      </c>
      <c r="AN444" s="12">
        <f>FAR[[#This Row],[Opening RUL]]+FAR[[#This Row],[RUL Adjustment]]</f>
        <v>0.37808219178082192</v>
      </c>
      <c r="AO444" s="12">
        <f>FAR[[#This Row],[Opening RUL 30 June 2026]]-1</f>
        <v>-0.62191780821917808</v>
      </c>
      <c r="AP444" s="12" t="s">
        <v>1050</v>
      </c>
      <c r="AQ444" s="139"/>
      <c r="AR444" s="10" t="s">
        <v>127</v>
      </c>
      <c r="AS444" s="13">
        <v>30852.01</v>
      </c>
      <c r="AT444" s="13"/>
      <c r="AU444" s="13"/>
      <c r="AV444" s="13"/>
      <c r="AW444" s="13"/>
      <c r="AX444" s="13">
        <v>30852.01</v>
      </c>
      <c r="AY444" s="13">
        <v>3888.1985205479468</v>
      </c>
      <c r="AZ444" s="13">
        <v>0</v>
      </c>
      <c r="BA444" s="13"/>
      <c r="BB444" s="13"/>
      <c r="BC444" s="13">
        <v>-26963.811479452052</v>
      </c>
      <c r="BD444" s="13"/>
      <c r="BE444" s="13" t="s">
        <v>114</v>
      </c>
      <c r="BF444" s="29"/>
      <c r="BG444" s="13"/>
      <c r="BH444" s="13">
        <f>-FAR[[#This Row],[Carrying value (opening balance)]]/FAR[[#This Row],[Opening RUL 30 June 2026]]</f>
        <v>-10284.003333333338</v>
      </c>
      <c r="BI444" s="13">
        <f>FAR[[#This Row],[Depreciation YTD]]/12</f>
        <v>-857.00027777777814</v>
      </c>
      <c r="BJ444" s="13"/>
      <c r="BK444" s="13" t="s">
        <v>116</v>
      </c>
      <c r="BL444" s="13">
        <v>0</v>
      </c>
      <c r="BM444" s="13">
        <f>FAR[[#This Row],[Accumulated depreciation (Opening balance)]]+FAR[[#This Row],[Depreciation YTD]]+FAR[[#This Row],[Derecognitions (acc dep) '[+']]]</f>
        <v>-37247.814812785393</v>
      </c>
      <c r="BN444" s="13"/>
      <c r="BO444" s="13"/>
      <c r="BP444" s="13"/>
      <c r="BQ444" s="13"/>
      <c r="BR44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44" s="13">
        <f>FAR[[#This Row],[Cost Price (closing balance)]]+FAR[[#This Row],[Accumulated depreciation (Closing balance)]]+FAR[[#This Row],[Accumulated impairments (Closing balance)]]</f>
        <v>-6395.8048127853945</v>
      </c>
      <c r="BT444" s="13">
        <f>FAR[[#This Row],[Accumulated depreciation (Opening balance)]]</f>
        <v>-26963.811479452052</v>
      </c>
      <c r="BU444" s="13"/>
      <c r="BV444" s="13"/>
      <c r="BW444" s="10"/>
      <c r="BX444" s="9"/>
      <c r="BY444" s="10"/>
      <c r="BZ444" t="s">
        <v>998</v>
      </c>
      <c r="CA444"/>
      <c r="CB444" s="34"/>
      <c r="CC444" s="34"/>
      <c r="CD444" s="34"/>
      <c r="CE444" s="141">
        <f>FAR[[#This Row],[Additions capitalised (@actual cost)]]/FAR[[#This Row],[EUL]]</f>
        <v>0</v>
      </c>
    </row>
    <row r="445" spans="1:83">
      <c r="A445" s="35" t="s">
        <v>694</v>
      </c>
      <c r="B445" s="9" t="s">
        <v>859</v>
      </c>
      <c r="C445" s="9" t="s">
        <v>54</v>
      </c>
      <c r="D445" s="10" t="s">
        <v>1</v>
      </c>
      <c r="E445" s="9" t="s">
        <v>115</v>
      </c>
      <c r="F445" s="36" t="s">
        <v>99</v>
      </c>
      <c r="G445" s="9" t="s">
        <v>100</v>
      </c>
      <c r="H445" s="3" t="s">
        <v>103</v>
      </c>
      <c r="I445" s="9" t="s">
        <v>100</v>
      </c>
      <c r="J445" s="36" t="s">
        <v>101</v>
      </c>
      <c r="K445" s="10" t="s">
        <v>559</v>
      </c>
      <c r="L445" s="10" t="s">
        <v>559</v>
      </c>
      <c r="M445" s="9" t="s">
        <v>100</v>
      </c>
      <c r="N445" s="10" t="s">
        <v>746</v>
      </c>
      <c r="O445" s="9" t="s">
        <v>100</v>
      </c>
      <c r="P445" s="10"/>
      <c r="Q445" s="10" t="s">
        <v>746</v>
      </c>
      <c r="R445" s="10" t="s">
        <v>119</v>
      </c>
      <c r="S445" s="10" t="s">
        <v>130</v>
      </c>
      <c r="T445" s="10" t="s">
        <v>120</v>
      </c>
      <c r="U445" s="10" t="s">
        <v>101</v>
      </c>
      <c r="V445" s="10" t="s">
        <v>121</v>
      </c>
      <c r="W445" s="10" t="s">
        <v>122</v>
      </c>
      <c r="X445" s="10" t="s">
        <v>123</v>
      </c>
      <c r="Y445" s="29">
        <v>1</v>
      </c>
      <c r="Z445" s="138" t="s">
        <v>764</v>
      </c>
      <c r="AA445" s="138">
        <v>44789</v>
      </c>
      <c r="AB445" s="9" t="s">
        <v>114</v>
      </c>
      <c r="AC445" s="9" t="s">
        <v>124</v>
      </c>
      <c r="AD445" s="15">
        <v>45016</v>
      </c>
      <c r="AE445" s="39" t="s">
        <v>125</v>
      </c>
      <c r="AF445" s="177">
        <v>3</v>
      </c>
      <c r="AG445" s="140">
        <v>0</v>
      </c>
      <c r="AH445" s="9">
        <v>0</v>
      </c>
      <c r="AI445" s="10" t="s">
        <v>126</v>
      </c>
      <c r="AJ445" s="10"/>
      <c r="AK445" s="29"/>
      <c r="AL445" s="12">
        <v>0.37808219178082192</v>
      </c>
      <c r="AM445" s="10">
        <v>0</v>
      </c>
      <c r="AN445" s="12">
        <f>FAR[[#This Row],[Opening RUL]]+FAR[[#This Row],[RUL Adjustment]]</f>
        <v>0.37808219178082192</v>
      </c>
      <c r="AO445" s="12">
        <f>FAR[[#This Row],[Opening RUL 30 June 2026]]-1</f>
        <v>-0.62191780821917808</v>
      </c>
      <c r="AP445" s="12" t="s">
        <v>1051</v>
      </c>
      <c r="AQ445" s="139"/>
      <c r="AR445" s="10" t="s">
        <v>127</v>
      </c>
      <c r="AS445" s="13">
        <v>30852.01</v>
      </c>
      <c r="AT445" s="13"/>
      <c r="AU445" s="13"/>
      <c r="AV445" s="13"/>
      <c r="AW445" s="13"/>
      <c r="AX445" s="13">
        <v>30852.01</v>
      </c>
      <c r="AY445" s="13">
        <v>3888.1985205479468</v>
      </c>
      <c r="AZ445" s="13">
        <v>0</v>
      </c>
      <c r="BA445" s="13"/>
      <c r="BB445" s="13"/>
      <c r="BC445" s="13">
        <v>-26963.811479452052</v>
      </c>
      <c r="BD445" s="13"/>
      <c r="BE445" s="13" t="s">
        <v>114</v>
      </c>
      <c r="BF445" s="29"/>
      <c r="BG445" s="13"/>
      <c r="BH445" s="13">
        <f>-FAR[[#This Row],[Carrying value (opening balance)]]/FAR[[#This Row],[Opening RUL 30 June 2026]]</f>
        <v>-10284.003333333338</v>
      </c>
      <c r="BI445" s="13">
        <f>FAR[[#This Row],[Depreciation YTD]]/12</f>
        <v>-857.00027777777814</v>
      </c>
      <c r="BJ445" s="13"/>
      <c r="BK445" s="13" t="s">
        <v>116</v>
      </c>
      <c r="BL445" s="13">
        <v>0</v>
      </c>
      <c r="BM445" s="13">
        <f>FAR[[#This Row],[Accumulated depreciation (Opening balance)]]+FAR[[#This Row],[Depreciation YTD]]+FAR[[#This Row],[Derecognitions (acc dep) '[+']]]</f>
        <v>-37247.814812785393</v>
      </c>
      <c r="BN445" s="13"/>
      <c r="BO445" s="13"/>
      <c r="BP445" s="13"/>
      <c r="BQ445" s="13"/>
      <c r="BR44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45" s="13">
        <f>FAR[[#This Row],[Cost Price (closing balance)]]+FAR[[#This Row],[Accumulated depreciation (Closing balance)]]+FAR[[#This Row],[Accumulated impairments (Closing balance)]]</f>
        <v>-6395.8048127853945</v>
      </c>
      <c r="BT445" s="13">
        <f>FAR[[#This Row],[Accumulated depreciation (Opening balance)]]</f>
        <v>-26963.811479452052</v>
      </c>
      <c r="BU445" s="13"/>
      <c r="BV445" s="13"/>
      <c r="BW445" s="10"/>
      <c r="BX445" s="9"/>
      <c r="BY445" s="10"/>
      <c r="BZ445" t="s">
        <v>1043</v>
      </c>
      <c r="CA445"/>
      <c r="CB445" s="34"/>
      <c r="CC445" s="34"/>
      <c r="CD445" s="34"/>
      <c r="CE445" s="141">
        <f>FAR[[#This Row],[Additions capitalised (@actual cost)]]/FAR[[#This Row],[EUL]]</f>
        <v>0</v>
      </c>
    </row>
    <row r="446" spans="1:83">
      <c r="A446" s="35" t="s">
        <v>695</v>
      </c>
      <c r="B446" s="9" t="s">
        <v>877</v>
      </c>
      <c r="C446" s="9" t="s">
        <v>54</v>
      </c>
      <c r="D446" s="10" t="s">
        <v>1</v>
      </c>
      <c r="E446" s="9" t="s">
        <v>115</v>
      </c>
      <c r="F446" s="36" t="s">
        <v>99</v>
      </c>
      <c r="G446" s="9" t="s">
        <v>100</v>
      </c>
      <c r="H446" s="3" t="s">
        <v>103</v>
      </c>
      <c r="I446" s="9" t="s">
        <v>100</v>
      </c>
      <c r="J446" s="36" t="s">
        <v>101</v>
      </c>
      <c r="K446" s="10" t="s">
        <v>559</v>
      </c>
      <c r="L446" s="10" t="s">
        <v>559</v>
      </c>
      <c r="M446" s="9" t="s">
        <v>100</v>
      </c>
      <c r="N446" s="10" t="s">
        <v>746</v>
      </c>
      <c r="O446" s="9" t="s">
        <v>100</v>
      </c>
      <c r="P446" s="10"/>
      <c r="Q446" s="10" t="s">
        <v>746</v>
      </c>
      <c r="R446" s="10" t="s">
        <v>119</v>
      </c>
      <c r="S446" s="10" t="s">
        <v>130</v>
      </c>
      <c r="T446" s="10" t="s">
        <v>120</v>
      </c>
      <c r="U446" s="10" t="s">
        <v>101</v>
      </c>
      <c r="V446" s="10" t="s">
        <v>121</v>
      </c>
      <c r="W446" s="10" t="s">
        <v>122</v>
      </c>
      <c r="X446" s="10" t="s">
        <v>123</v>
      </c>
      <c r="Y446" s="29">
        <v>1</v>
      </c>
      <c r="Z446" s="138" t="s">
        <v>764</v>
      </c>
      <c r="AA446" s="138">
        <v>44789</v>
      </c>
      <c r="AB446" s="9" t="s">
        <v>114</v>
      </c>
      <c r="AC446" s="9" t="s">
        <v>124</v>
      </c>
      <c r="AD446" s="15">
        <v>45016</v>
      </c>
      <c r="AE446" s="39" t="s">
        <v>125</v>
      </c>
      <c r="AF446" s="177">
        <v>3</v>
      </c>
      <c r="AG446" s="140">
        <v>0</v>
      </c>
      <c r="AH446" s="9">
        <v>0</v>
      </c>
      <c r="AI446" s="10" t="s">
        <v>126</v>
      </c>
      <c r="AJ446" s="10"/>
      <c r="AK446" s="29"/>
      <c r="AL446" s="12">
        <v>0.37808219178082192</v>
      </c>
      <c r="AM446" s="10">
        <v>0</v>
      </c>
      <c r="AN446" s="12">
        <f>FAR[[#This Row],[Opening RUL]]+FAR[[#This Row],[RUL Adjustment]]</f>
        <v>0.37808219178082192</v>
      </c>
      <c r="AO446" s="12">
        <f>FAR[[#This Row],[Opening RUL 30 June 2026]]-1</f>
        <v>-0.62191780821917808</v>
      </c>
      <c r="AP446" s="12" t="s">
        <v>1051</v>
      </c>
      <c r="AQ446" s="139"/>
      <c r="AR446" s="10" t="s">
        <v>127</v>
      </c>
      <c r="AS446" s="13">
        <v>30852.01</v>
      </c>
      <c r="AT446" s="13"/>
      <c r="AU446" s="13"/>
      <c r="AV446" s="13"/>
      <c r="AW446" s="13"/>
      <c r="AX446" s="13">
        <v>30852.01</v>
      </c>
      <c r="AY446" s="13">
        <v>3888.1985205479468</v>
      </c>
      <c r="AZ446" s="13">
        <v>0</v>
      </c>
      <c r="BA446" s="13"/>
      <c r="BB446" s="13"/>
      <c r="BC446" s="13">
        <v>-26963.811479452052</v>
      </c>
      <c r="BD446" s="13"/>
      <c r="BE446" s="13" t="s">
        <v>114</v>
      </c>
      <c r="BF446" s="29"/>
      <c r="BG446" s="13"/>
      <c r="BH446" s="13">
        <f>-FAR[[#This Row],[Carrying value (opening balance)]]/FAR[[#This Row],[Opening RUL 30 June 2026]]</f>
        <v>-10284.003333333338</v>
      </c>
      <c r="BI446" s="13">
        <f>FAR[[#This Row],[Depreciation YTD]]/12</f>
        <v>-857.00027777777814</v>
      </c>
      <c r="BJ446" s="13"/>
      <c r="BK446" s="13" t="s">
        <v>116</v>
      </c>
      <c r="BL446" s="13">
        <v>0</v>
      </c>
      <c r="BM446" s="13">
        <f>FAR[[#This Row],[Accumulated depreciation (Opening balance)]]+FAR[[#This Row],[Depreciation YTD]]+FAR[[#This Row],[Derecognitions (acc dep) '[+']]]</f>
        <v>-37247.814812785393</v>
      </c>
      <c r="BN446" s="13"/>
      <c r="BO446" s="13"/>
      <c r="BP446" s="13"/>
      <c r="BQ446" s="13"/>
      <c r="BR44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46" s="13">
        <f>FAR[[#This Row],[Cost Price (closing balance)]]+FAR[[#This Row],[Accumulated depreciation (Closing balance)]]+FAR[[#This Row],[Accumulated impairments (Closing balance)]]</f>
        <v>-6395.8048127853945</v>
      </c>
      <c r="BT446" s="13">
        <f>FAR[[#This Row],[Accumulated depreciation (Opening balance)]]</f>
        <v>-26963.811479452052</v>
      </c>
      <c r="BU446" s="13"/>
      <c r="BV446" s="13"/>
      <c r="BW446" s="10"/>
      <c r="BX446" s="9"/>
      <c r="BY446" s="10"/>
      <c r="BZ446" t="s">
        <v>1016</v>
      </c>
      <c r="CA446"/>
      <c r="CB446" s="34"/>
      <c r="CC446" s="34"/>
      <c r="CD446" s="34"/>
      <c r="CE446" s="141">
        <f>FAR[[#This Row],[Additions capitalised (@actual cost)]]/FAR[[#This Row],[EUL]]</f>
        <v>0</v>
      </c>
    </row>
    <row r="447" spans="1:83">
      <c r="A447" s="35" t="s">
        <v>696</v>
      </c>
      <c r="B447" s="9" t="s">
        <v>900</v>
      </c>
      <c r="C447" s="9" t="s">
        <v>54</v>
      </c>
      <c r="D447" s="10" t="s">
        <v>1</v>
      </c>
      <c r="E447" s="9" t="s">
        <v>115</v>
      </c>
      <c r="F447" s="36" t="s">
        <v>99</v>
      </c>
      <c r="G447" s="9" t="s">
        <v>100</v>
      </c>
      <c r="H447" s="3" t="s">
        <v>103</v>
      </c>
      <c r="I447" s="9" t="s">
        <v>100</v>
      </c>
      <c r="J447" s="36" t="s">
        <v>101</v>
      </c>
      <c r="K447" s="10" t="s">
        <v>559</v>
      </c>
      <c r="L447" s="10" t="s">
        <v>559</v>
      </c>
      <c r="M447" s="9" t="s">
        <v>100</v>
      </c>
      <c r="N447" s="10" t="s">
        <v>746</v>
      </c>
      <c r="O447" s="9" t="s">
        <v>100</v>
      </c>
      <c r="P447" s="10"/>
      <c r="Q447" s="10" t="s">
        <v>746</v>
      </c>
      <c r="R447" s="10" t="s">
        <v>119</v>
      </c>
      <c r="S447" s="10" t="s">
        <v>130</v>
      </c>
      <c r="T447" s="10" t="s">
        <v>120</v>
      </c>
      <c r="U447" s="10" t="s">
        <v>101</v>
      </c>
      <c r="V447" s="10" t="s">
        <v>121</v>
      </c>
      <c r="W447" s="10" t="s">
        <v>122</v>
      </c>
      <c r="X447" s="10" t="s">
        <v>123</v>
      </c>
      <c r="Y447" s="29">
        <v>1</v>
      </c>
      <c r="Z447" s="138" t="s">
        <v>764</v>
      </c>
      <c r="AA447" s="138">
        <v>44789</v>
      </c>
      <c r="AB447" s="9" t="s">
        <v>114</v>
      </c>
      <c r="AC447" s="9" t="s">
        <v>124</v>
      </c>
      <c r="AD447" s="15">
        <v>45016</v>
      </c>
      <c r="AE447" s="39" t="s">
        <v>125</v>
      </c>
      <c r="AF447" s="177">
        <v>3</v>
      </c>
      <c r="AG447" s="140">
        <v>0</v>
      </c>
      <c r="AH447" s="9">
        <v>0</v>
      </c>
      <c r="AI447" s="10" t="s">
        <v>126</v>
      </c>
      <c r="AJ447" s="10"/>
      <c r="AK447" s="29"/>
      <c r="AL447" s="12">
        <v>0.37808219178082192</v>
      </c>
      <c r="AM447" s="10">
        <v>0</v>
      </c>
      <c r="AN447" s="12">
        <f>FAR[[#This Row],[Opening RUL]]+FAR[[#This Row],[RUL Adjustment]]</f>
        <v>0.37808219178082192</v>
      </c>
      <c r="AO447" s="12">
        <f>FAR[[#This Row],[Opening RUL 30 June 2026]]-1</f>
        <v>-0.62191780821917808</v>
      </c>
      <c r="AP447" s="12" t="s">
        <v>1050</v>
      </c>
      <c r="AQ447" s="139"/>
      <c r="AR447" s="10" t="s">
        <v>127</v>
      </c>
      <c r="AS447" s="13">
        <v>30852.01</v>
      </c>
      <c r="AT447" s="13"/>
      <c r="AU447" s="13"/>
      <c r="AV447" s="13"/>
      <c r="AW447" s="13"/>
      <c r="AX447" s="13">
        <v>30852.01</v>
      </c>
      <c r="AY447" s="13">
        <v>3888.1985205479468</v>
      </c>
      <c r="AZ447" s="13">
        <v>0</v>
      </c>
      <c r="BA447" s="13"/>
      <c r="BB447" s="13"/>
      <c r="BC447" s="13">
        <v>-26963.811479452052</v>
      </c>
      <c r="BD447" s="13"/>
      <c r="BE447" s="13" t="s">
        <v>114</v>
      </c>
      <c r="BF447" s="29"/>
      <c r="BG447" s="13"/>
      <c r="BH447" s="13">
        <f>-FAR[[#This Row],[Carrying value (opening balance)]]/FAR[[#This Row],[Opening RUL 30 June 2026]]</f>
        <v>-10284.003333333338</v>
      </c>
      <c r="BI447" s="13">
        <f>FAR[[#This Row],[Depreciation YTD]]/12</f>
        <v>-857.00027777777814</v>
      </c>
      <c r="BJ447" s="13"/>
      <c r="BK447" s="13" t="s">
        <v>116</v>
      </c>
      <c r="BL447" s="13">
        <v>0</v>
      </c>
      <c r="BM447" s="13">
        <f>FAR[[#This Row],[Accumulated depreciation (Opening balance)]]+FAR[[#This Row],[Depreciation YTD]]+FAR[[#This Row],[Derecognitions (acc dep) '[+']]]</f>
        <v>-37247.814812785393</v>
      </c>
      <c r="BN447" s="13"/>
      <c r="BO447" s="13"/>
      <c r="BP447" s="13"/>
      <c r="BQ447" s="13"/>
      <c r="BR44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47" s="13">
        <f>FAR[[#This Row],[Cost Price (closing balance)]]+FAR[[#This Row],[Accumulated depreciation (Closing balance)]]+FAR[[#This Row],[Accumulated impairments (Closing balance)]]</f>
        <v>-6395.8048127853945</v>
      </c>
      <c r="BT447" s="13">
        <f>FAR[[#This Row],[Accumulated depreciation (Opening balance)]]</f>
        <v>-26963.811479452052</v>
      </c>
      <c r="BU447" s="13"/>
      <c r="BV447" s="13"/>
      <c r="BW447" s="10"/>
      <c r="BX447" s="9"/>
      <c r="BY447" s="10"/>
      <c r="BZ447" t="s">
        <v>988</v>
      </c>
      <c r="CA447"/>
      <c r="CB447" s="34"/>
      <c r="CC447" s="34"/>
      <c r="CD447" s="34"/>
      <c r="CE447" s="141">
        <f>FAR[[#This Row],[Additions capitalised (@actual cost)]]/FAR[[#This Row],[EUL]]</f>
        <v>0</v>
      </c>
    </row>
    <row r="448" spans="1:83">
      <c r="A448" s="35" t="s">
        <v>697</v>
      </c>
      <c r="B448" s="9">
        <v>0</v>
      </c>
      <c r="C448" s="9" t="s">
        <v>54</v>
      </c>
      <c r="D448" s="10" t="s">
        <v>1</v>
      </c>
      <c r="E448" s="9" t="s">
        <v>115</v>
      </c>
      <c r="F448" s="36" t="s">
        <v>99</v>
      </c>
      <c r="G448" s="9" t="s">
        <v>100</v>
      </c>
      <c r="H448" s="3" t="s">
        <v>103</v>
      </c>
      <c r="I448" s="9" t="s">
        <v>100</v>
      </c>
      <c r="J448" s="36" t="s">
        <v>101</v>
      </c>
      <c r="K448" s="10" t="s">
        <v>559</v>
      </c>
      <c r="L448" s="10" t="s">
        <v>559</v>
      </c>
      <c r="M448" s="9" t="s">
        <v>100</v>
      </c>
      <c r="N448" s="10" t="s">
        <v>746</v>
      </c>
      <c r="O448" s="9" t="s">
        <v>100</v>
      </c>
      <c r="P448" s="10"/>
      <c r="Q448" s="10" t="s">
        <v>746</v>
      </c>
      <c r="R448" s="10" t="s">
        <v>119</v>
      </c>
      <c r="S448" s="10" t="s">
        <v>130</v>
      </c>
      <c r="T448" s="10" t="s">
        <v>120</v>
      </c>
      <c r="U448" s="10" t="s">
        <v>101</v>
      </c>
      <c r="V448" s="10" t="s">
        <v>121</v>
      </c>
      <c r="W448" s="10" t="s">
        <v>122</v>
      </c>
      <c r="X448" s="10" t="s">
        <v>123</v>
      </c>
      <c r="Y448" s="29">
        <v>1</v>
      </c>
      <c r="Z448" s="138" t="s">
        <v>764</v>
      </c>
      <c r="AA448" s="138">
        <v>44789</v>
      </c>
      <c r="AB448" s="9" t="s">
        <v>114</v>
      </c>
      <c r="AC448" s="9" t="s">
        <v>124</v>
      </c>
      <c r="AD448" s="15">
        <v>45016</v>
      </c>
      <c r="AE448" s="39" t="s">
        <v>125</v>
      </c>
      <c r="AF448" s="177">
        <v>3</v>
      </c>
      <c r="AG448" s="140">
        <v>0</v>
      </c>
      <c r="AH448" s="9">
        <v>0</v>
      </c>
      <c r="AI448" s="10" t="s">
        <v>126</v>
      </c>
      <c r="AJ448" s="10"/>
      <c r="AK448" s="29"/>
      <c r="AL448" s="12">
        <v>0.37808219178082192</v>
      </c>
      <c r="AM448" s="10">
        <v>0</v>
      </c>
      <c r="AN448" s="12">
        <f>FAR[[#This Row],[Opening RUL]]+FAR[[#This Row],[RUL Adjustment]]</f>
        <v>0.37808219178082192</v>
      </c>
      <c r="AO448" s="12">
        <f>FAR[[#This Row],[Opening RUL 30 June 2026]]-1</f>
        <v>-0.62191780821917808</v>
      </c>
      <c r="AP448" s="12">
        <v>0</v>
      </c>
      <c r="AQ448" s="139"/>
      <c r="AR448" s="10" t="s">
        <v>127</v>
      </c>
      <c r="AS448" s="13">
        <v>30852.01</v>
      </c>
      <c r="AT448" s="13"/>
      <c r="AU448" s="13"/>
      <c r="AV448" s="13"/>
      <c r="AW448" s="13"/>
      <c r="AX448" s="13">
        <v>30852.01</v>
      </c>
      <c r="AY448" s="13">
        <v>3888.1985205479468</v>
      </c>
      <c r="AZ448" s="13">
        <v>0</v>
      </c>
      <c r="BA448" s="13"/>
      <c r="BB448" s="13"/>
      <c r="BC448" s="13">
        <v>-26963.811479452052</v>
      </c>
      <c r="BD448" s="13"/>
      <c r="BE448" s="13" t="s">
        <v>114</v>
      </c>
      <c r="BF448" s="29"/>
      <c r="BG448" s="13"/>
      <c r="BH448" s="13">
        <f>-FAR[[#This Row],[Carrying value (opening balance)]]/FAR[[#This Row],[Opening RUL 30 June 2026]]</f>
        <v>-10284.003333333338</v>
      </c>
      <c r="BI448" s="13">
        <f>FAR[[#This Row],[Depreciation YTD]]/12</f>
        <v>-857.00027777777814</v>
      </c>
      <c r="BJ448" s="13"/>
      <c r="BK448" s="13" t="s">
        <v>116</v>
      </c>
      <c r="BL448" s="13">
        <v>0</v>
      </c>
      <c r="BM448" s="13">
        <f>FAR[[#This Row],[Accumulated depreciation (Opening balance)]]+FAR[[#This Row],[Depreciation YTD]]+FAR[[#This Row],[Derecognitions (acc dep) '[+']]]</f>
        <v>-37247.814812785393</v>
      </c>
      <c r="BN448" s="13"/>
      <c r="BO448" s="13"/>
      <c r="BP448" s="13"/>
      <c r="BQ448" s="13"/>
      <c r="BR44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48" s="13">
        <f>FAR[[#This Row],[Cost Price (closing balance)]]+FAR[[#This Row],[Accumulated depreciation (Closing balance)]]+FAR[[#This Row],[Accumulated impairments (Closing balance)]]</f>
        <v>-6395.8048127853945</v>
      </c>
      <c r="BT448" s="13">
        <f>FAR[[#This Row],[Accumulated depreciation (Opening balance)]]</f>
        <v>-26963.811479452052</v>
      </c>
      <c r="BU448" s="13"/>
      <c r="BV448" s="13"/>
      <c r="BW448" s="10"/>
      <c r="BX448" s="9"/>
      <c r="BY448" s="10"/>
      <c r="BZ448">
        <v>0</v>
      </c>
      <c r="CA448"/>
      <c r="CB448" s="34"/>
      <c r="CC448" s="34"/>
      <c r="CD448" s="34"/>
      <c r="CE448" s="141">
        <f>FAR[[#This Row],[Additions capitalised (@actual cost)]]/FAR[[#This Row],[EUL]]</f>
        <v>0</v>
      </c>
    </row>
    <row r="449" spans="1:83">
      <c r="A449" s="35" t="s">
        <v>698</v>
      </c>
      <c r="B449" s="9">
        <v>0</v>
      </c>
      <c r="C449" s="9" t="s">
        <v>54</v>
      </c>
      <c r="D449" s="10" t="s">
        <v>1</v>
      </c>
      <c r="E449" s="9" t="s">
        <v>115</v>
      </c>
      <c r="F449" s="36" t="s">
        <v>99</v>
      </c>
      <c r="G449" s="9" t="s">
        <v>100</v>
      </c>
      <c r="H449" s="3" t="s">
        <v>103</v>
      </c>
      <c r="I449" s="9" t="s">
        <v>100</v>
      </c>
      <c r="J449" s="36" t="s">
        <v>101</v>
      </c>
      <c r="K449" s="10" t="s">
        <v>559</v>
      </c>
      <c r="L449" s="10" t="s">
        <v>559</v>
      </c>
      <c r="M449" s="9" t="s">
        <v>100</v>
      </c>
      <c r="N449" s="10" t="s">
        <v>746</v>
      </c>
      <c r="O449" s="9" t="s">
        <v>100</v>
      </c>
      <c r="P449" s="10"/>
      <c r="Q449" s="10" t="s">
        <v>746</v>
      </c>
      <c r="R449" s="10" t="s">
        <v>119</v>
      </c>
      <c r="S449" s="10" t="s">
        <v>130</v>
      </c>
      <c r="T449" s="10" t="s">
        <v>120</v>
      </c>
      <c r="U449" s="10" t="s">
        <v>101</v>
      </c>
      <c r="V449" s="10" t="s">
        <v>121</v>
      </c>
      <c r="W449" s="10" t="s">
        <v>122</v>
      </c>
      <c r="X449" s="10" t="s">
        <v>123</v>
      </c>
      <c r="Y449" s="29">
        <v>1</v>
      </c>
      <c r="Z449" s="138" t="s">
        <v>764</v>
      </c>
      <c r="AA449" s="138">
        <v>44789</v>
      </c>
      <c r="AB449" s="9" t="s">
        <v>114</v>
      </c>
      <c r="AC449" s="9" t="s">
        <v>124</v>
      </c>
      <c r="AD449" s="15">
        <v>45016</v>
      </c>
      <c r="AE449" s="39" t="s">
        <v>125</v>
      </c>
      <c r="AF449" s="177">
        <v>3</v>
      </c>
      <c r="AG449" s="140">
        <v>0</v>
      </c>
      <c r="AH449" s="9">
        <v>0</v>
      </c>
      <c r="AI449" s="10" t="s">
        <v>126</v>
      </c>
      <c r="AJ449" s="10"/>
      <c r="AK449" s="29"/>
      <c r="AL449" s="12">
        <v>0.37808219178082192</v>
      </c>
      <c r="AM449" s="10">
        <v>0</v>
      </c>
      <c r="AN449" s="12">
        <f>FAR[[#This Row],[Opening RUL]]+FAR[[#This Row],[RUL Adjustment]]</f>
        <v>0.37808219178082192</v>
      </c>
      <c r="AO449" s="12">
        <f>FAR[[#This Row],[Opening RUL 30 June 2026]]-1</f>
        <v>-0.62191780821917808</v>
      </c>
      <c r="AP449" s="12">
        <v>0</v>
      </c>
      <c r="AQ449" s="139"/>
      <c r="AR449" s="10" t="s">
        <v>127</v>
      </c>
      <c r="AS449" s="13">
        <v>30852.01</v>
      </c>
      <c r="AT449" s="13"/>
      <c r="AU449" s="13"/>
      <c r="AV449" s="13"/>
      <c r="AW449" s="13"/>
      <c r="AX449" s="13">
        <v>30852.01</v>
      </c>
      <c r="AY449" s="13">
        <v>3888.1985205479468</v>
      </c>
      <c r="AZ449" s="13">
        <v>0</v>
      </c>
      <c r="BA449" s="13"/>
      <c r="BB449" s="13"/>
      <c r="BC449" s="13">
        <v>-26963.811479452052</v>
      </c>
      <c r="BD449" s="13"/>
      <c r="BE449" s="13" t="s">
        <v>114</v>
      </c>
      <c r="BF449" s="29"/>
      <c r="BG449" s="13"/>
      <c r="BH449" s="13">
        <f>-FAR[[#This Row],[Carrying value (opening balance)]]/FAR[[#This Row],[Opening RUL 30 June 2026]]</f>
        <v>-10284.003333333338</v>
      </c>
      <c r="BI449" s="13">
        <f>FAR[[#This Row],[Depreciation YTD]]/12</f>
        <v>-857.00027777777814</v>
      </c>
      <c r="BJ449" s="13"/>
      <c r="BK449" s="13" t="s">
        <v>116</v>
      </c>
      <c r="BL449" s="13">
        <v>0</v>
      </c>
      <c r="BM449" s="13">
        <f>FAR[[#This Row],[Accumulated depreciation (Opening balance)]]+FAR[[#This Row],[Depreciation YTD]]+FAR[[#This Row],[Derecognitions (acc dep) '[+']]]</f>
        <v>-37247.814812785393</v>
      </c>
      <c r="BN449" s="13"/>
      <c r="BO449" s="13"/>
      <c r="BP449" s="13"/>
      <c r="BQ449" s="13"/>
      <c r="BR44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49" s="13">
        <f>FAR[[#This Row],[Cost Price (closing balance)]]+FAR[[#This Row],[Accumulated depreciation (Closing balance)]]+FAR[[#This Row],[Accumulated impairments (Closing balance)]]</f>
        <v>-6395.8048127853945</v>
      </c>
      <c r="BT449" s="13">
        <f>FAR[[#This Row],[Accumulated depreciation (Opening balance)]]</f>
        <v>-26963.811479452052</v>
      </c>
      <c r="BU449" s="13"/>
      <c r="BV449" s="13"/>
      <c r="BW449" s="10"/>
      <c r="BX449" s="9"/>
      <c r="BY449" s="10"/>
      <c r="BZ449">
        <v>0</v>
      </c>
      <c r="CA449"/>
      <c r="CB449" s="34"/>
      <c r="CC449" s="34"/>
      <c r="CD449" s="34"/>
      <c r="CE449" s="141">
        <f>FAR[[#This Row],[Additions capitalised (@actual cost)]]/FAR[[#This Row],[EUL]]</f>
        <v>0</v>
      </c>
    </row>
    <row r="450" spans="1:83">
      <c r="A450" s="35" t="s">
        <v>699</v>
      </c>
      <c r="B450" s="9" t="s">
        <v>886</v>
      </c>
      <c r="C450" s="9" t="s">
        <v>54</v>
      </c>
      <c r="D450" s="10" t="s">
        <v>1</v>
      </c>
      <c r="E450" s="9" t="s">
        <v>115</v>
      </c>
      <c r="F450" s="36" t="s">
        <v>99</v>
      </c>
      <c r="G450" s="9" t="s">
        <v>100</v>
      </c>
      <c r="H450" s="3" t="s">
        <v>103</v>
      </c>
      <c r="I450" s="9" t="s">
        <v>100</v>
      </c>
      <c r="J450" s="36" t="s">
        <v>101</v>
      </c>
      <c r="K450" s="10" t="s">
        <v>559</v>
      </c>
      <c r="L450" s="10" t="s">
        <v>559</v>
      </c>
      <c r="M450" s="9" t="s">
        <v>100</v>
      </c>
      <c r="N450" s="10" t="s">
        <v>746</v>
      </c>
      <c r="O450" s="9" t="s">
        <v>100</v>
      </c>
      <c r="P450" s="10"/>
      <c r="Q450" s="10" t="s">
        <v>746</v>
      </c>
      <c r="R450" s="10" t="s">
        <v>119</v>
      </c>
      <c r="S450" s="10" t="s">
        <v>130</v>
      </c>
      <c r="T450" s="10" t="s">
        <v>120</v>
      </c>
      <c r="U450" s="10" t="s">
        <v>101</v>
      </c>
      <c r="V450" s="10" t="s">
        <v>121</v>
      </c>
      <c r="W450" s="10" t="s">
        <v>122</v>
      </c>
      <c r="X450" s="10" t="s">
        <v>123</v>
      </c>
      <c r="Y450" s="29">
        <v>1</v>
      </c>
      <c r="Z450" s="138" t="s">
        <v>764</v>
      </c>
      <c r="AA450" s="138">
        <v>44789</v>
      </c>
      <c r="AB450" s="9" t="s">
        <v>114</v>
      </c>
      <c r="AC450" s="9" t="s">
        <v>124</v>
      </c>
      <c r="AD450" s="15">
        <v>45016</v>
      </c>
      <c r="AE450" s="39" t="s">
        <v>125</v>
      </c>
      <c r="AF450" s="177">
        <v>3</v>
      </c>
      <c r="AG450" s="140">
        <v>0</v>
      </c>
      <c r="AH450" s="9">
        <v>0</v>
      </c>
      <c r="AI450" s="10" t="s">
        <v>126</v>
      </c>
      <c r="AJ450" s="10"/>
      <c r="AK450" s="29"/>
      <c r="AL450" s="12">
        <v>0.37808219178082192</v>
      </c>
      <c r="AM450" s="10">
        <v>0</v>
      </c>
      <c r="AN450" s="12">
        <f>FAR[[#This Row],[Opening RUL]]+FAR[[#This Row],[RUL Adjustment]]</f>
        <v>0.37808219178082192</v>
      </c>
      <c r="AO450" s="12">
        <f>FAR[[#This Row],[Opening RUL 30 June 2026]]-1</f>
        <v>-0.62191780821917808</v>
      </c>
      <c r="AP450" s="12" t="s">
        <v>1050</v>
      </c>
      <c r="AQ450" s="139"/>
      <c r="AR450" s="10" t="s">
        <v>127</v>
      </c>
      <c r="AS450" s="13">
        <v>30852.01</v>
      </c>
      <c r="AT450" s="13"/>
      <c r="AU450" s="13"/>
      <c r="AV450" s="13"/>
      <c r="AW450" s="13"/>
      <c r="AX450" s="13">
        <v>30852.01</v>
      </c>
      <c r="AY450" s="13">
        <v>3888.1985205479468</v>
      </c>
      <c r="AZ450" s="13">
        <v>0</v>
      </c>
      <c r="BA450" s="13"/>
      <c r="BB450" s="13"/>
      <c r="BC450" s="13">
        <v>-26963.811479452052</v>
      </c>
      <c r="BD450" s="13"/>
      <c r="BE450" s="13" t="s">
        <v>114</v>
      </c>
      <c r="BF450" s="29"/>
      <c r="BG450" s="13"/>
      <c r="BH450" s="13">
        <f>-FAR[[#This Row],[Carrying value (opening balance)]]/FAR[[#This Row],[Opening RUL 30 June 2026]]</f>
        <v>-10284.003333333338</v>
      </c>
      <c r="BI450" s="13">
        <f>FAR[[#This Row],[Depreciation YTD]]/12</f>
        <v>-857.00027777777814</v>
      </c>
      <c r="BJ450" s="13"/>
      <c r="BK450" s="13" t="s">
        <v>116</v>
      </c>
      <c r="BL450" s="13">
        <v>0</v>
      </c>
      <c r="BM450" s="13">
        <f>FAR[[#This Row],[Accumulated depreciation (Opening balance)]]+FAR[[#This Row],[Depreciation YTD]]+FAR[[#This Row],[Derecognitions (acc dep) '[+']]]</f>
        <v>-37247.814812785393</v>
      </c>
      <c r="BN450" s="13"/>
      <c r="BO450" s="13"/>
      <c r="BP450" s="13"/>
      <c r="BQ450" s="13"/>
      <c r="BR45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50" s="13">
        <f>FAR[[#This Row],[Cost Price (closing balance)]]+FAR[[#This Row],[Accumulated depreciation (Closing balance)]]+FAR[[#This Row],[Accumulated impairments (Closing balance)]]</f>
        <v>-6395.8048127853945</v>
      </c>
      <c r="BT450" s="13">
        <f>FAR[[#This Row],[Accumulated depreciation (Opening balance)]]</f>
        <v>-26963.811479452052</v>
      </c>
      <c r="BU450" s="13"/>
      <c r="BV450" s="13"/>
      <c r="BW450" s="10"/>
      <c r="BX450" s="9"/>
      <c r="BY450" s="10"/>
      <c r="BZ450" t="s">
        <v>1038</v>
      </c>
      <c r="CA450"/>
      <c r="CB450" s="34"/>
      <c r="CC450" s="34"/>
      <c r="CD450" s="34"/>
      <c r="CE450" s="141">
        <f>FAR[[#This Row],[Additions capitalised (@actual cost)]]/FAR[[#This Row],[EUL]]</f>
        <v>0</v>
      </c>
    </row>
    <row r="451" spans="1:83">
      <c r="A451" s="35" t="s">
        <v>700</v>
      </c>
      <c r="B451" s="9" t="s">
        <v>876</v>
      </c>
      <c r="C451" s="9" t="s">
        <v>54</v>
      </c>
      <c r="D451" s="10" t="s">
        <v>1</v>
      </c>
      <c r="E451" s="9" t="s">
        <v>115</v>
      </c>
      <c r="F451" s="36" t="s">
        <v>99</v>
      </c>
      <c r="G451" s="9" t="s">
        <v>100</v>
      </c>
      <c r="H451" s="3" t="s">
        <v>103</v>
      </c>
      <c r="I451" s="9" t="s">
        <v>100</v>
      </c>
      <c r="J451" s="36" t="s">
        <v>101</v>
      </c>
      <c r="K451" s="10" t="s">
        <v>559</v>
      </c>
      <c r="L451" s="10" t="s">
        <v>559</v>
      </c>
      <c r="M451" s="9" t="s">
        <v>100</v>
      </c>
      <c r="N451" s="10" t="s">
        <v>746</v>
      </c>
      <c r="O451" s="9" t="s">
        <v>100</v>
      </c>
      <c r="P451" s="10"/>
      <c r="Q451" s="10" t="s">
        <v>746</v>
      </c>
      <c r="R451" s="10" t="s">
        <v>119</v>
      </c>
      <c r="S451" s="10" t="s">
        <v>130</v>
      </c>
      <c r="T451" s="10" t="s">
        <v>120</v>
      </c>
      <c r="U451" s="10" t="s">
        <v>101</v>
      </c>
      <c r="V451" s="10" t="s">
        <v>121</v>
      </c>
      <c r="W451" s="10" t="s">
        <v>122</v>
      </c>
      <c r="X451" s="10" t="s">
        <v>123</v>
      </c>
      <c r="Y451" s="29">
        <v>1</v>
      </c>
      <c r="Z451" s="138" t="s">
        <v>764</v>
      </c>
      <c r="AA451" s="138">
        <v>44789</v>
      </c>
      <c r="AB451" s="9" t="s">
        <v>114</v>
      </c>
      <c r="AC451" s="9" t="s">
        <v>124</v>
      </c>
      <c r="AD451" s="15">
        <v>45016</v>
      </c>
      <c r="AE451" s="39" t="s">
        <v>125</v>
      </c>
      <c r="AF451" s="177">
        <v>3</v>
      </c>
      <c r="AG451" s="140">
        <v>0</v>
      </c>
      <c r="AH451" s="9">
        <v>0</v>
      </c>
      <c r="AI451" s="10" t="s">
        <v>126</v>
      </c>
      <c r="AJ451" s="10"/>
      <c r="AK451" s="29"/>
      <c r="AL451" s="12">
        <v>0.37808219178082192</v>
      </c>
      <c r="AM451" s="10">
        <v>0</v>
      </c>
      <c r="AN451" s="12">
        <f>FAR[[#This Row],[Opening RUL]]+FAR[[#This Row],[RUL Adjustment]]</f>
        <v>0.37808219178082192</v>
      </c>
      <c r="AO451" s="12">
        <f>FAR[[#This Row],[Opening RUL 30 June 2026]]-1</f>
        <v>-0.62191780821917808</v>
      </c>
      <c r="AP451" s="12" t="s">
        <v>1052</v>
      </c>
      <c r="AQ451" s="139"/>
      <c r="AR451" s="10" t="s">
        <v>127</v>
      </c>
      <c r="AS451" s="13">
        <v>30852.01</v>
      </c>
      <c r="AT451" s="13"/>
      <c r="AU451" s="13"/>
      <c r="AV451" s="13"/>
      <c r="AW451" s="13"/>
      <c r="AX451" s="13">
        <v>30852.01</v>
      </c>
      <c r="AY451" s="13">
        <v>3888.1985205479468</v>
      </c>
      <c r="AZ451" s="13">
        <v>0</v>
      </c>
      <c r="BA451" s="13"/>
      <c r="BB451" s="13"/>
      <c r="BC451" s="13">
        <v>-26963.811479452052</v>
      </c>
      <c r="BD451" s="13"/>
      <c r="BE451" s="13" t="s">
        <v>114</v>
      </c>
      <c r="BF451" s="29"/>
      <c r="BG451" s="13"/>
      <c r="BH451" s="13">
        <f>-FAR[[#This Row],[Carrying value (opening balance)]]/FAR[[#This Row],[Opening RUL 30 June 2026]]</f>
        <v>-10284.003333333338</v>
      </c>
      <c r="BI451" s="13">
        <f>FAR[[#This Row],[Depreciation YTD]]/12</f>
        <v>-857.00027777777814</v>
      </c>
      <c r="BJ451" s="13"/>
      <c r="BK451" s="13" t="s">
        <v>116</v>
      </c>
      <c r="BL451" s="13">
        <v>0</v>
      </c>
      <c r="BM451" s="13">
        <f>FAR[[#This Row],[Accumulated depreciation (Opening balance)]]+FAR[[#This Row],[Depreciation YTD]]+FAR[[#This Row],[Derecognitions (acc dep) '[+']]]</f>
        <v>-37247.814812785393</v>
      </c>
      <c r="BN451" s="13"/>
      <c r="BO451" s="13"/>
      <c r="BP451" s="13"/>
      <c r="BQ451" s="13"/>
      <c r="BR45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51" s="13">
        <f>FAR[[#This Row],[Cost Price (closing balance)]]+FAR[[#This Row],[Accumulated depreciation (Closing balance)]]+FAR[[#This Row],[Accumulated impairments (Closing balance)]]</f>
        <v>-6395.8048127853945</v>
      </c>
      <c r="BT451" s="13">
        <f>FAR[[#This Row],[Accumulated depreciation (Opening balance)]]</f>
        <v>-26963.811479452052</v>
      </c>
      <c r="BU451" s="13"/>
      <c r="BV451" s="13"/>
      <c r="BW451" s="10"/>
      <c r="BX451" s="9"/>
      <c r="BY451" s="10"/>
      <c r="BZ451" t="s">
        <v>942</v>
      </c>
      <c r="CA451"/>
      <c r="CB451" s="34"/>
      <c r="CC451" s="34"/>
      <c r="CD451" s="34"/>
      <c r="CE451" s="141">
        <f>FAR[[#This Row],[Additions capitalised (@actual cost)]]/FAR[[#This Row],[EUL]]</f>
        <v>0</v>
      </c>
    </row>
    <row r="452" spans="1:83">
      <c r="A452" s="35" t="s">
        <v>701</v>
      </c>
      <c r="B452" s="9" t="s">
        <v>927</v>
      </c>
      <c r="C452" s="9" t="s">
        <v>54</v>
      </c>
      <c r="D452" s="10" t="s">
        <v>1</v>
      </c>
      <c r="E452" s="9" t="s">
        <v>115</v>
      </c>
      <c r="F452" s="36" t="s">
        <v>99</v>
      </c>
      <c r="G452" s="9" t="s">
        <v>100</v>
      </c>
      <c r="H452" s="3" t="s">
        <v>103</v>
      </c>
      <c r="I452" s="9" t="s">
        <v>100</v>
      </c>
      <c r="J452" s="36" t="s">
        <v>101</v>
      </c>
      <c r="K452" s="10" t="s">
        <v>559</v>
      </c>
      <c r="L452" s="10" t="s">
        <v>559</v>
      </c>
      <c r="M452" s="9" t="s">
        <v>100</v>
      </c>
      <c r="N452" s="10" t="s">
        <v>746</v>
      </c>
      <c r="O452" s="9" t="s">
        <v>100</v>
      </c>
      <c r="P452" s="10"/>
      <c r="Q452" s="10" t="s">
        <v>746</v>
      </c>
      <c r="R452" s="10" t="s">
        <v>119</v>
      </c>
      <c r="S452" s="10" t="s">
        <v>130</v>
      </c>
      <c r="T452" s="10" t="s">
        <v>120</v>
      </c>
      <c r="U452" s="10" t="s">
        <v>101</v>
      </c>
      <c r="V452" s="10" t="s">
        <v>121</v>
      </c>
      <c r="W452" s="10" t="s">
        <v>122</v>
      </c>
      <c r="X452" s="10" t="s">
        <v>123</v>
      </c>
      <c r="Y452" s="29">
        <v>1</v>
      </c>
      <c r="Z452" s="138" t="s">
        <v>764</v>
      </c>
      <c r="AA452" s="138">
        <v>44789</v>
      </c>
      <c r="AB452" s="9" t="s">
        <v>114</v>
      </c>
      <c r="AC452" s="9" t="s">
        <v>124</v>
      </c>
      <c r="AD452" s="15">
        <v>45016</v>
      </c>
      <c r="AE452" s="39" t="s">
        <v>125</v>
      </c>
      <c r="AF452" s="177">
        <v>3</v>
      </c>
      <c r="AG452" s="140">
        <v>0</v>
      </c>
      <c r="AH452" s="9">
        <v>0</v>
      </c>
      <c r="AI452" s="10" t="s">
        <v>126</v>
      </c>
      <c r="AJ452" s="10"/>
      <c r="AK452" s="29"/>
      <c r="AL452" s="12">
        <v>0.37808219178082192</v>
      </c>
      <c r="AM452" s="10">
        <v>0</v>
      </c>
      <c r="AN452" s="12">
        <f>FAR[[#This Row],[Opening RUL]]+FAR[[#This Row],[RUL Adjustment]]</f>
        <v>0.37808219178082192</v>
      </c>
      <c r="AO452" s="12">
        <f>FAR[[#This Row],[Opening RUL 30 June 2026]]-1</f>
        <v>-0.62191780821917808</v>
      </c>
      <c r="AP452" s="12" t="s">
        <v>1050</v>
      </c>
      <c r="AQ452" s="139"/>
      <c r="AR452" s="10" t="s">
        <v>127</v>
      </c>
      <c r="AS452" s="13">
        <v>30852.01</v>
      </c>
      <c r="AT452" s="13"/>
      <c r="AU452" s="13"/>
      <c r="AV452" s="13"/>
      <c r="AW452" s="13"/>
      <c r="AX452" s="13">
        <v>30852.01</v>
      </c>
      <c r="AY452" s="13">
        <v>3888.1985205479468</v>
      </c>
      <c r="AZ452" s="13">
        <v>0</v>
      </c>
      <c r="BA452" s="13"/>
      <c r="BB452" s="13"/>
      <c r="BC452" s="13">
        <v>-26963.811479452052</v>
      </c>
      <c r="BD452" s="13"/>
      <c r="BE452" s="13" t="s">
        <v>114</v>
      </c>
      <c r="BF452" s="29"/>
      <c r="BG452" s="13"/>
      <c r="BH452" s="13">
        <f>-FAR[[#This Row],[Carrying value (opening balance)]]/FAR[[#This Row],[Opening RUL 30 June 2026]]</f>
        <v>-10284.003333333338</v>
      </c>
      <c r="BI452" s="13">
        <f>FAR[[#This Row],[Depreciation YTD]]/12</f>
        <v>-857.00027777777814</v>
      </c>
      <c r="BJ452" s="13"/>
      <c r="BK452" s="13" t="s">
        <v>116</v>
      </c>
      <c r="BL452" s="13">
        <v>0</v>
      </c>
      <c r="BM452" s="13">
        <f>FAR[[#This Row],[Accumulated depreciation (Opening balance)]]+FAR[[#This Row],[Depreciation YTD]]+FAR[[#This Row],[Derecognitions (acc dep) '[+']]]</f>
        <v>-37247.814812785393</v>
      </c>
      <c r="BN452" s="13"/>
      <c r="BO452" s="13"/>
      <c r="BP452" s="13"/>
      <c r="BQ452" s="13"/>
      <c r="BR45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52" s="13">
        <f>FAR[[#This Row],[Cost Price (closing balance)]]+FAR[[#This Row],[Accumulated depreciation (Closing balance)]]+FAR[[#This Row],[Accumulated impairments (Closing balance)]]</f>
        <v>-6395.8048127853945</v>
      </c>
      <c r="BT452" s="13">
        <f>FAR[[#This Row],[Accumulated depreciation (Opening balance)]]</f>
        <v>-26963.811479452052</v>
      </c>
      <c r="BU452" s="13"/>
      <c r="BV452" s="13"/>
      <c r="BW452" s="10"/>
      <c r="BX452" s="9"/>
      <c r="BY452" s="10"/>
      <c r="BZ452" t="s">
        <v>1044</v>
      </c>
      <c r="CA452"/>
      <c r="CB452" s="34"/>
      <c r="CC452" s="34"/>
      <c r="CD452" s="34"/>
      <c r="CE452" s="141">
        <f>FAR[[#This Row],[Additions capitalised (@actual cost)]]/FAR[[#This Row],[EUL]]</f>
        <v>0</v>
      </c>
    </row>
    <row r="453" spans="1:83">
      <c r="A453" s="35" t="s">
        <v>702</v>
      </c>
      <c r="B453" s="9">
        <v>0</v>
      </c>
      <c r="C453" s="9" t="s">
        <v>54</v>
      </c>
      <c r="D453" s="10" t="s">
        <v>1</v>
      </c>
      <c r="E453" s="9" t="s">
        <v>115</v>
      </c>
      <c r="F453" s="36" t="s">
        <v>99</v>
      </c>
      <c r="G453" s="9" t="s">
        <v>100</v>
      </c>
      <c r="H453" s="3" t="s">
        <v>103</v>
      </c>
      <c r="I453" s="9" t="s">
        <v>100</v>
      </c>
      <c r="J453" s="36" t="s">
        <v>101</v>
      </c>
      <c r="K453" s="10" t="s">
        <v>559</v>
      </c>
      <c r="L453" s="10" t="s">
        <v>559</v>
      </c>
      <c r="M453" s="9" t="s">
        <v>100</v>
      </c>
      <c r="N453" s="10" t="s">
        <v>746</v>
      </c>
      <c r="O453" s="9" t="s">
        <v>100</v>
      </c>
      <c r="P453" s="10"/>
      <c r="Q453" s="10" t="s">
        <v>746</v>
      </c>
      <c r="R453" s="10" t="s">
        <v>119</v>
      </c>
      <c r="S453" s="10" t="s">
        <v>130</v>
      </c>
      <c r="T453" s="10" t="s">
        <v>120</v>
      </c>
      <c r="U453" s="10" t="s">
        <v>101</v>
      </c>
      <c r="V453" s="10" t="s">
        <v>121</v>
      </c>
      <c r="W453" s="10" t="s">
        <v>122</v>
      </c>
      <c r="X453" s="10" t="s">
        <v>123</v>
      </c>
      <c r="Y453" s="29">
        <v>1</v>
      </c>
      <c r="Z453" s="138" t="s">
        <v>764</v>
      </c>
      <c r="AA453" s="138">
        <v>44789</v>
      </c>
      <c r="AB453" s="9" t="s">
        <v>114</v>
      </c>
      <c r="AC453" s="9" t="s">
        <v>124</v>
      </c>
      <c r="AD453" s="15">
        <v>45016</v>
      </c>
      <c r="AE453" s="39" t="s">
        <v>125</v>
      </c>
      <c r="AF453" s="177">
        <v>3</v>
      </c>
      <c r="AG453" s="140">
        <v>0</v>
      </c>
      <c r="AH453" s="9">
        <v>0</v>
      </c>
      <c r="AI453" s="10" t="s">
        <v>126</v>
      </c>
      <c r="AJ453" s="10"/>
      <c r="AK453" s="29"/>
      <c r="AL453" s="12">
        <v>0.37808219178082192</v>
      </c>
      <c r="AM453" s="10">
        <v>0</v>
      </c>
      <c r="AN453" s="12">
        <f>FAR[[#This Row],[Opening RUL]]+FAR[[#This Row],[RUL Adjustment]]</f>
        <v>0.37808219178082192</v>
      </c>
      <c r="AO453" s="12">
        <f>FAR[[#This Row],[Opening RUL 30 June 2026]]-1</f>
        <v>-0.62191780821917808</v>
      </c>
      <c r="AP453" s="12">
        <v>0</v>
      </c>
      <c r="AQ453" s="139"/>
      <c r="AR453" s="10" t="s">
        <v>127</v>
      </c>
      <c r="AS453" s="13">
        <v>30852.01</v>
      </c>
      <c r="AT453" s="13"/>
      <c r="AU453" s="13"/>
      <c r="AV453" s="13"/>
      <c r="AW453" s="13"/>
      <c r="AX453" s="13">
        <v>30852.01</v>
      </c>
      <c r="AY453" s="13">
        <v>3888.1985205479468</v>
      </c>
      <c r="AZ453" s="13">
        <v>0</v>
      </c>
      <c r="BA453" s="13"/>
      <c r="BB453" s="13"/>
      <c r="BC453" s="13">
        <v>-26963.811479452052</v>
      </c>
      <c r="BD453" s="13"/>
      <c r="BE453" s="13" t="s">
        <v>114</v>
      </c>
      <c r="BF453" s="29"/>
      <c r="BG453" s="13"/>
      <c r="BH453" s="13">
        <f>-FAR[[#This Row],[Carrying value (opening balance)]]/FAR[[#This Row],[Opening RUL 30 June 2026]]</f>
        <v>-10284.003333333338</v>
      </c>
      <c r="BI453" s="13">
        <f>FAR[[#This Row],[Depreciation YTD]]/12</f>
        <v>-857.00027777777814</v>
      </c>
      <c r="BJ453" s="13"/>
      <c r="BK453" s="13" t="s">
        <v>116</v>
      </c>
      <c r="BL453" s="13">
        <v>0</v>
      </c>
      <c r="BM453" s="13">
        <f>FAR[[#This Row],[Accumulated depreciation (Opening balance)]]+FAR[[#This Row],[Depreciation YTD]]+FAR[[#This Row],[Derecognitions (acc dep) '[+']]]</f>
        <v>-37247.814812785393</v>
      </c>
      <c r="BN453" s="13"/>
      <c r="BO453" s="13"/>
      <c r="BP453" s="13"/>
      <c r="BQ453" s="13"/>
      <c r="BR45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53" s="13">
        <f>FAR[[#This Row],[Cost Price (closing balance)]]+FAR[[#This Row],[Accumulated depreciation (Closing balance)]]+FAR[[#This Row],[Accumulated impairments (Closing balance)]]</f>
        <v>-6395.8048127853945</v>
      </c>
      <c r="BT453" s="13">
        <f>FAR[[#This Row],[Accumulated depreciation (Opening balance)]]</f>
        <v>-26963.811479452052</v>
      </c>
      <c r="BU453" s="13"/>
      <c r="BV453" s="13"/>
      <c r="BW453" s="10"/>
      <c r="BX453" s="9"/>
      <c r="BY453" s="10"/>
      <c r="BZ453">
        <v>0</v>
      </c>
      <c r="CA453"/>
      <c r="CB453" s="34"/>
      <c r="CC453" s="34"/>
      <c r="CD453" s="34"/>
      <c r="CE453" s="141">
        <f>FAR[[#This Row],[Additions capitalised (@actual cost)]]/FAR[[#This Row],[EUL]]</f>
        <v>0</v>
      </c>
    </row>
    <row r="454" spans="1:83">
      <c r="A454" s="35" t="s">
        <v>703</v>
      </c>
      <c r="B454" s="9" t="s">
        <v>901</v>
      </c>
      <c r="C454" s="9" t="s">
        <v>54</v>
      </c>
      <c r="D454" s="10" t="s">
        <v>1</v>
      </c>
      <c r="E454" s="9" t="s">
        <v>115</v>
      </c>
      <c r="F454" s="36" t="s">
        <v>99</v>
      </c>
      <c r="G454" s="9" t="s">
        <v>100</v>
      </c>
      <c r="H454" s="3" t="s">
        <v>103</v>
      </c>
      <c r="I454" s="9" t="s">
        <v>100</v>
      </c>
      <c r="J454" s="36" t="s">
        <v>101</v>
      </c>
      <c r="K454" s="10" t="s">
        <v>559</v>
      </c>
      <c r="L454" s="10" t="s">
        <v>559</v>
      </c>
      <c r="M454" s="9" t="s">
        <v>100</v>
      </c>
      <c r="N454" s="10" t="s">
        <v>746</v>
      </c>
      <c r="O454" s="9" t="s">
        <v>100</v>
      </c>
      <c r="P454" s="10"/>
      <c r="Q454" s="10" t="s">
        <v>746</v>
      </c>
      <c r="R454" s="10" t="s">
        <v>119</v>
      </c>
      <c r="S454" s="10" t="s">
        <v>130</v>
      </c>
      <c r="T454" s="10" t="s">
        <v>120</v>
      </c>
      <c r="U454" s="10" t="s">
        <v>101</v>
      </c>
      <c r="V454" s="10" t="s">
        <v>121</v>
      </c>
      <c r="W454" s="10" t="s">
        <v>122</v>
      </c>
      <c r="X454" s="10" t="s">
        <v>123</v>
      </c>
      <c r="Y454" s="29">
        <v>1</v>
      </c>
      <c r="Z454" s="138" t="s">
        <v>764</v>
      </c>
      <c r="AA454" s="138">
        <v>44789</v>
      </c>
      <c r="AB454" s="9" t="s">
        <v>114</v>
      </c>
      <c r="AC454" s="9" t="s">
        <v>124</v>
      </c>
      <c r="AD454" s="15">
        <v>45016</v>
      </c>
      <c r="AE454" s="39" t="s">
        <v>125</v>
      </c>
      <c r="AF454" s="177">
        <v>3</v>
      </c>
      <c r="AG454" s="140">
        <v>0</v>
      </c>
      <c r="AH454" s="9">
        <v>0</v>
      </c>
      <c r="AI454" s="10" t="s">
        <v>126</v>
      </c>
      <c r="AJ454" s="10"/>
      <c r="AK454" s="29"/>
      <c r="AL454" s="12">
        <v>0.37808219178082192</v>
      </c>
      <c r="AM454" s="10">
        <v>0</v>
      </c>
      <c r="AN454" s="12">
        <f>FAR[[#This Row],[Opening RUL]]+FAR[[#This Row],[RUL Adjustment]]</f>
        <v>0.37808219178082192</v>
      </c>
      <c r="AO454" s="12">
        <f>FAR[[#This Row],[Opening RUL 30 June 2026]]-1</f>
        <v>-0.62191780821917808</v>
      </c>
      <c r="AP454" s="12" t="s">
        <v>1051</v>
      </c>
      <c r="AQ454" s="139"/>
      <c r="AR454" s="10" t="s">
        <v>127</v>
      </c>
      <c r="AS454" s="13">
        <v>30852.01</v>
      </c>
      <c r="AT454" s="13"/>
      <c r="AU454" s="13"/>
      <c r="AV454" s="13"/>
      <c r="AW454" s="13"/>
      <c r="AX454" s="13">
        <v>30852.01</v>
      </c>
      <c r="AY454" s="13">
        <v>3888.1985205479468</v>
      </c>
      <c r="AZ454" s="13">
        <v>0</v>
      </c>
      <c r="BA454" s="13"/>
      <c r="BB454" s="13"/>
      <c r="BC454" s="13">
        <v>-26963.811479452052</v>
      </c>
      <c r="BD454" s="13"/>
      <c r="BE454" s="13" t="s">
        <v>114</v>
      </c>
      <c r="BF454" s="29"/>
      <c r="BG454" s="13"/>
      <c r="BH454" s="13">
        <f>-FAR[[#This Row],[Carrying value (opening balance)]]/FAR[[#This Row],[Opening RUL 30 June 2026]]</f>
        <v>-10284.003333333338</v>
      </c>
      <c r="BI454" s="13">
        <f>FAR[[#This Row],[Depreciation YTD]]/12</f>
        <v>-857.00027777777814</v>
      </c>
      <c r="BJ454" s="13"/>
      <c r="BK454" s="13" t="s">
        <v>116</v>
      </c>
      <c r="BL454" s="13">
        <v>0</v>
      </c>
      <c r="BM454" s="13">
        <f>FAR[[#This Row],[Accumulated depreciation (Opening balance)]]+FAR[[#This Row],[Depreciation YTD]]+FAR[[#This Row],[Derecognitions (acc dep) '[+']]]</f>
        <v>-37247.814812785393</v>
      </c>
      <c r="BN454" s="13"/>
      <c r="BO454" s="13"/>
      <c r="BP454" s="13"/>
      <c r="BQ454" s="13"/>
      <c r="BR45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54" s="13">
        <f>FAR[[#This Row],[Cost Price (closing balance)]]+FAR[[#This Row],[Accumulated depreciation (Closing balance)]]+FAR[[#This Row],[Accumulated impairments (Closing balance)]]</f>
        <v>-6395.8048127853945</v>
      </c>
      <c r="BT454" s="13">
        <f>FAR[[#This Row],[Accumulated depreciation (Opening balance)]]</f>
        <v>-26963.811479452052</v>
      </c>
      <c r="BU454" s="13"/>
      <c r="BV454" s="13"/>
      <c r="BW454" s="10"/>
      <c r="BX454" s="9"/>
      <c r="BY454" s="10"/>
      <c r="BZ454" t="s">
        <v>1018</v>
      </c>
      <c r="CA454"/>
      <c r="CB454" s="34"/>
      <c r="CC454" s="34"/>
      <c r="CD454" s="34"/>
      <c r="CE454" s="141">
        <f>FAR[[#This Row],[Additions capitalised (@actual cost)]]/FAR[[#This Row],[EUL]]</f>
        <v>0</v>
      </c>
    </row>
    <row r="455" spans="1:83">
      <c r="A455" s="35" t="s">
        <v>704</v>
      </c>
      <c r="B455" s="9">
        <v>0</v>
      </c>
      <c r="C455" s="9" t="s">
        <v>54</v>
      </c>
      <c r="D455" s="10" t="s">
        <v>1</v>
      </c>
      <c r="E455" s="9" t="s">
        <v>115</v>
      </c>
      <c r="F455" s="36" t="s">
        <v>99</v>
      </c>
      <c r="G455" s="9" t="s">
        <v>100</v>
      </c>
      <c r="H455" s="3" t="s">
        <v>103</v>
      </c>
      <c r="I455" s="9" t="s">
        <v>100</v>
      </c>
      <c r="J455" s="36" t="s">
        <v>101</v>
      </c>
      <c r="K455" s="10" t="s">
        <v>559</v>
      </c>
      <c r="L455" s="10" t="s">
        <v>559</v>
      </c>
      <c r="M455" s="9" t="s">
        <v>100</v>
      </c>
      <c r="N455" s="10" t="s">
        <v>746</v>
      </c>
      <c r="O455" s="9" t="s">
        <v>100</v>
      </c>
      <c r="P455" s="10"/>
      <c r="Q455" s="10" t="s">
        <v>746</v>
      </c>
      <c r="R455" s="10" t="s">
        <v>119</v>
      </c>
      <c r="S455" s="10" t="s">
        <v>130</v>
      </c>
      <c r="T455" s="10" t="s">
        <v>120</v>
      </c>
      <c r="U455" s="10" t="s">
        <v>101</v>
      </c>
      <c r="V455" s="10" t="s">
        <v>121</v>
      </c>
      <c r="W455" s="10" t="s">
        <v>122</v>
      </c>
      <c r="X455" s="10" t="s">
        <v>123</v>
      </c>
      <c r="Y455" s="29">
        <v>1</v>
      </c>
      <c r="Z455" s="138" t="s">
        <v>764</v>
      </c>
      <c r="AA455" s="138">
        <v>44789</v>
      </c>
      <c r="AB455" s="9" t="s">
        <v>114</v>
      </c>
      <c r="AC455" s="9" t="s">
        <v>124</v>
      </c>
      <c r="AD455" s="15">
        <v>45016</v>
      </c>
      <c r="AE455" s="39" t="s">
        <v>125</v>
      </c>
      <c r="AF455" s="177">
        <v>3</v>
      </c>
      <c r="AG455" s="140">
        <v>0</v>
      </c>
      <c r="AH455" s="9">
        <v>0</v>
      </c>
      <c r="AI455" s="10" t="s">
        <v>126</v>
      </c>
      <c r="AJ455" s="10"/>
      <c r="AK455" s="29"/>
      <c r="AL455" s="12">
        <v>0.37808219178082192</v>
      </c>
      <c r="AM455" s="10">
        <v>0</v>
      </c>
      <c r="AN455" s="12">
        <f>FAR[[#This Row],[Opening RUL]]+FAR[[#This Row],[RUL Adjustment]]</f>
        <v>0.37808219178082192</v>
      </c>
      <c r="AO455" s="12">
        <f>FAR[[#This Row],[Opening RUL 30 June 2026]]-1</f>
        <v>-0.62191780821917808</v>
      </c>
      <c r="AP455" s="12">
        <v>0</v>
      </c>
      <c r="AQ455" s="139"/>
      <c r="AR455" s="10" t="s">
        <v>127</v>
      </c>
      <c r="AS455" s="13">
        <v>30852.01</v>
      </c>
      <c r="AT455" s="13"/>
      <c r="AU455" s="13"/>
      <c r="AV455" s="13"/>
      <c r="AW455" s="13"/>
      <c r="AX455" s="13">
        <v>30852.01</v>
      </c>
      <c r="AY455" s="13">
        <v>3888.1985205479468</v>
      </c>
      <c r="AZ455" s="13">
        <v>0</v>
      </c>
      <c r="BA455" s="13"/>
      <c r="BB455" s="13"/>
      <c r="BC455" s="13">
        <v>-26963.811479452052</v>
      </c>
      <c r="BD455" s="13"/>
      <c r="BE455" s="13" t="s">
        <v>114</v>
      </c>
      <c r="BF455" s="29"/>
      <c r="BG455" s="13"/>
      <c r="BH455" s="13">
        <f>-FAR[[#This Row],[Carrying value (opening balance)]]/FAR[[#This Row],[Opening RUL 30 June 2026]]</f>
        <v>-10284.003333333338</v>
      </c>
      <c r="BI455" s="13">
        <f>FAR[[#This Row],[Depreciation YTD]]/12</f>
        <v>-857.00027777777814</v>
      </c>
      <c r="BJ455" s="13"/>
      <c r="BK455" s="13" t="s">
        <v>116</v>
      </c>
      <c r="BL455" s="13">
        <v>0</v>
      </c>
      <c r="BM455" s="13">
        <f>FAR[[#This Row],[Accumulated depreciation (Opening balance)]]+FAR[[#This Row],[Depreciation YTD]]+FAR[[#This Row],[Derecognitions (acc dep) '[+']]]</f>
        <v>-37247.814812785393</v>
      </c>
      <c r="BN455" s="13"/>
      <c r="BO455" s="13"/>
      <c r="BP455" s="13"/>
      <c r="BQ455" s="13"/>
      <c r="BR45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55" s="13">
        <f>FAR[[#This Row],[Cost Price (closing balance)]]+FAR[[#This Row],[Accumulated depreciation (Closing balance)]]+FAR[[#This Row],[Accumulated impairments (Closing balance)]]</f>
        <v>-6395.8048127853945</v>
      </c>
      <c r="BT455" s="13">
        <f>FAR[[#This Row],[Accumulated depreciation (Opening balance)]]</f>
        <v>-26963.811479452052</v>
      </c>
      <c r="BU455" s="13"/>
      <c r="BV455" s="13"/>
      <c r="BW455" s="10"/>
      <c r="BX455" s="9"/>
      <c r="BY455" s="10"/>
      <c r="BZ455">
        <v>0</v>
      </c>
      <c r="CA455"/>
      <c r="CB455" s="34"/>
      <c r="CC455" s="34"/>
      <c r="CD455" s="34"/>
      <c r="CE455" s="141">
        <f>FAR[[#This Row],[Additions capitalised (@actual cost)]]/FAR[[#This Row],[EUL]]</f>
        <v>0</v>
      </c>
    </row>
    <row r="456" spans="1:83">
      <c r="A456" s="35" t="s">
        <v>706</v>
      </c>
      <c r="B456" s="9" t="s">
        <v>900</v>
      </c>
      <c r="C456" s="9" t="s">
        <v>54</v>
      </c>
      <c r="D456" s="10" t="s">
        <v>1</v>
      </c>
      <c r="E456" s="9" t="s">
        <v>115</v>
      </c>
      <c r="F456" s="36" t="s">
        <v>99</v>
      </c>
      <c r="G456" s="9" t="s">
        <v>100</v>
      </c>
      <c r="H456" s="3" t="s">
        <v>103</v>
      </c>
      <c r="I456" s="9" t="s">
        <v>100</v>
      </c>
      <c r="J456" s="36" t="s">
        <v>101</v>
      </c>
      <c r="K456" s="10" t="s">
        <v>559</v>
      </c>
      <c r="L456" s="10" t="s">
        <v>559</v>
      </c>
      <c r="M456" s="9" t="s">
        <v>100</v>
      </c>
      <c r="N456" s="10" t="s">
        <v>746</v>
      </c>
      <c r="O456" s="9" t="s">
        <v>100</v>
      </c>
      <c r="P456" s="10"/>
      <c r="Q456" s="10" t="s">
        <v>746</v>
      </c>
      <c r="R456" s="10" t="s">
        <v>119</v>
      </c>
      <c r="S456" s="10" t="s">
        <v>130</v>
      </c>
      <c r="T456" s="10" t="s">
        <v>120</v>
      </c>
      <c r="U456" s="10" t="s">
        <v>101</v>
      </c>
      <c r="V456" s="10" t="s">
        <v>121</v>
      </c>
      <c r="W456" s="10" t="s">
        <v>122</v>
      </c>
      <c r="X456" s="10" t="s">
        <v>123</v>
      </c>
      <c r="Y456" s="29">
        <v>1</v>
      </c>
      <c r="Z456" s="138" t="s">
        <v>764</v>
      </c>
      <c r="AA456" s="138">
        <v>44789</v>
      </c>
      <c r="AB456" s="9" t="s">
        <v>114</v>
      </c>
      <c r="AC456" s="9" t="s">
        <v>124</v>
      </c>
      <c r="AD456" s="15">
        <v>45016</v>
      </c>
      <c r="AE456" s="39" t="s">
        <v>125</v>
      </c>
      <c r="AF456" s="177">
        <v>3</v>
      </c>
      <c r="AG456" s="140">
        <v>0</v>
      </c>
      <c r="AH456" s="9">
        <v>0</v>
      </c>
      <c r="AI456" s="10" t="s">
        <v>126</v>
      </c>
      <c r="AJ456" s="10"/>
      <c r="AK456" s="29"/>
      <c r="AL456" s="12">
        <v>0.37808219178082192</v>
      </c>
      <c r="AM456" s="10">
        <v>0</v>
      </c>
      <c r="AN456" s="12">
        <f>FAR[[#This Row],[Opening RUL]]+FAR[[#This Row],[RUL Adjustment]]</f>
        <v>0.37808219178082192</v>
      </c>
      <c r="AO456" s="12">
        <f>FAR[[#This Row],[Opening RUL 30 June 2026]]-1</f>
        <v>-0.62191780821917808</v>
      </c>
      <c r="AP456" s="12" t="s">
        <v>1051</v>
      </c>
      <c r="AQ456" s="139"/>
      <c r="AR456" s="10" t="s">
        <v>127</v>
      </c>
      <c r="AS456" s="13">
        <v>30852.01</v>
      </c>
      <c r="AT456" s="13"/>
      <c r="AU456" s="13"/>
      <c r="AV456" s="13"/>
      <c r="AW456" s="13"/>
      <c r="AX456" s="13">
        <v>30852.01</v>
      </c>
      <c r="AY456" s="13">
        <v>3888.1985205479468</v>
      </c>
      <c r="AZ456" s="13">
        <v>0</v>
      </c>
      <c r="BA456" s="13"/>
      <c r="BB456" s="13"/>
      <c r="BC456" s="13">
        <v>-26963.811479452052</v>
      </c>
      <c r="BD456" s="13"/>
      <c r="BE456" s="13" t="s">
        <v>114</v>
      </c>
      <c r="BF456" s="29"/>
      <c r="BG456" s="13"/>
      <c r="BH456" s="13">
        <f>-FAR[[#This Row],[Carrying value (opening balance)]]/FAR[[#This Row],[Opening RUL 30 June 2026]]</f>
        <v>-10284.003333333338</v>
      </c>
      <c r="BI456" s="13">
        <f>FAR[[#This Row],[Depreciation YTD]]/12</f>
        <v>-857.00027777777814</v>
      </c>
      <c r="BJ456" s="13"/>
      <c r="BK456" s="13" t="s">
        <v>116</v>
      </c>
      <c r="BL456" s="13">
        <v>0</v>
      </c>
      <c r="BM456" s="13">
        <f>FAR[[#This Row],[Accumulated depreciation (Opening balance)]]+FAR[[#This Row],[Depreciation YTD]]+FAR[[#This Row],[Derecognitions (acc dep) '[+']]]</f>
        <v>-37247.814812785393</v>
      </c>
      <c r="BN456" s="13"/>
      <c r="BO456" s="13"/>
      <c r="BP456" s="13"/>
      <c r="BQ456" s="13"/>
      <c r="BR45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56" s="13">
        <f>FAR[[#This Row],[Cost Price (closing balance)]]+FAR[[#This Row],[Accumulated depreciation (Closing balance)]]+FAR[[#This Row],[Accumulated impairments (Closing balance)]]</f>
        <v>-6395.8048127853945</v>
      </c>
      <c r="BT456" s="13">
        <f>FAR[[#This Row],[Accumulated depreciation (Opening balance)]]</f>
        <v>-26963.811479452052</v>
      </c>
      <c r="BU456" s="13"/>
      <c r="BV456" s="13"/>
      <c r="BW456" s="10"/>
      <c r="BX456" s="9"/>
      <c r="BY456" s="10"/>
      <c r="BZ456" t="s">
        <v>1036</v>
      </c>
      <c r="CA456"/>
      <c r="CB456" s="34"/>
      <c r="CC456" s="34"/>
      <c r="CD456" s="34"/>
      <c r="CE456" s="141">
        <f>FAR[[#This Row],[Additions capitalised (@actual cost)]]/FAR[[#This Row],[EUL]]</f>
        <v>0</v>
      </c>
    </row>
    <row r="457" spans="1:83">
      <c r="A457" s="35" t="s">
        <v>708</v>
      </c>
      <c r="B457" s="9" t="s">
        <v>901</v>
      </c>
      <c r="C457" s="9" t="s">
        <v>54</v>
      </c>
      <c r="D457" s="10" t="s">
        <v>1</v>
      </c>
      <c r="E457" s="9" t="s">
        <v>115</v>
      </c>
      <c r="F457" s="36" t="s">
        <v>99</v>
      </c>
      <c r="G457" s="9" t="s">
        <v>100</v>
      </c>
      <c r="H457" s="3" t="s">
        <v>103</v>
      </c>
      <c r="I457" s="9" t="s">
        <v>100</v>
      </c>
      <c r="J457" s="36" t="s">
        <v>101</v>
      </c>
      <c r="K457" s="10" t="s">
        <v>559</v>
      </c>
      <c r="L457" s="10" t="s">
        <v>559</v>
      </c>
      <c r="M457" s="9" t="s">
        <v>100</v>
      </c>
      <c r="N457" s="10" t="s">
        <v>746</v>
      </c>
      <c r="O457" s="9" t="s">
        <v>100</v>
      </c>
      <c r="P457" s="10"/>
      <c r="Q457" s="10" t="s">
        <v>746</v>
      </c>
      <c r="R457" s="10" t="s">
        <v>119</v>
      </c>
      <c r="S457" s="10" t="s">
        <v>130</v>
      </c>
      <c r="T457" s="10" t="s">
        <v>120</v>
      </c>
      <c r="U457" s="10" t="s">
        <v>101</v>
      </c>
      <c r="V457" s="10" t="s">
        <v>121</v>
      </c>
      <c r="W457" s="10" t="s">
        <v>122</v>
      </c>
      <c r="X457" s="10" t="s">
        <v>123</v>
      </c>
      <c r="Y457" s="29">
        <v>1</v>
      </c>
      <c r="Z457" s="138" t="s">
        <v>764</v>
      </c>
      <c r="AA457" s="138">
        <v>44789</v>
      </c>
      <c r="AB457" s="9" t="s">
        <v>114</v>
      </c>
      <c r="AC457" s="9" t="s">
        <v>124</v>
      </c>
      <c r="AD457" s="15">
        <v>45016</v>
      </c>
      <c r="AE457" s="39" t="s">
        <v>125</v>
      </c>
      <c r="AF457" s="177">
        <v>3</v>
      </c>
      <c r="AG457" s="140">
        <v>0</v>
      </c>
      <c r="AH457" s="9">
        <v>0</v>
      </c>
      <c r="AI457" s="10" t="s">
        <v>126</v>
      </c>
      <c r="AJ457" s="10"/>
      <c r="AK457" s="29"/>
      <c r="AL457" s="12">
        <v>0.37808219178082192</v>
      </c>
      <c r="AM457" s="10">
        <v>0</v>
      </c>
      <c r="AN457" s="12">
        <f>FAR[[#This Row],[Opening RUL]]+FAR[[#This Row],[RUL Adjustment]]</f>
        <v>0.37808219178082192</v>
      </c>
      <c r="AO457" s="12">
        <f>FAR[[#This Row],[Opening RUL 30 June 2026]]-1</f>
        <v>-0.62191780821917808</v>
      </c>
      <c r="AP457" s="12" t="s">
        <v>1051</v>
      </c>
      <c r="AQ457" s="139"/>
      <c r="AR457" s="10" t="s">
        <v>127</v>
      </c>
      <c r="AS457" s="13">
        <v>30852.01</v>
      </c>
      <c r="AT457" s="13"/>
      <c r="AU457" s="13"/>
      <c r="AV457" s="13"/>
      <c r="AW457" s="13"/>
      <c r="AX457" s="13">
        <v>30852.01</v>
      </c>
      <c r="AY457" s="13">
        <v>3888.1985205479468</v>
      </c>
      <c r="AZ457" s="13">
        <v>0</v>
      </c>
      <c r="BA457" s="13"/>
      <c r="BB457" s="13"/>
      <c r="BC457" s="13">
        <v>-26963.811479452052</v>
      </c>
      <c r="BD457" s="13"/>
      <c r="BE457" s="13" t="s">
        <v>114</v>
      </c>
      <c r="BF457" s="29"/>
      <c r="BG457" s="13"/>
      <c r="BH457" s="13">
        <f>-FAR[[#This Row],[Carrying value (opening balance)]]/FAR[[#This Row],[Opening RUL 30 June 2026]]</f>
        <v>-10284.003333333338</v>
      </c>
      <c r="BI457" s="13">
        <f>FAR[[#This Row],[Depreciation YTD]]/12</f>
        <v>-857.00027777777814</v>
      </c>
      <c r="BJ457" s="13"/>
      <c r="BK457" s="13" t="s">
        <v>116</v>
      </c>
      <c r="BL457" s="13">
        <v>0</v>
      </c>
      <c r="BM457" s="13">
        <f>FAR[[#This Row],[Accumulated depreciation (Opening balance)]]+FAR[[#This Row],[Depreciation YTD]]+FAR[[#This Row],[Derecognitions (acc dep) '[+']]]</f>
        <v>-37247.814812785393</v>
      </c>
      <c r="BN457" s="13"/>
      <c r="BO457" s="13"/>
      <c r="BP457" s="13"/>
      <c r="BQ457" s="13"/>
      <c r="BR45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57" s="13">
        <f>FAR[[#This Row],[Cost Price (closing balance)]]+FAR[[#This Row],[Accumulated depreciation (Closing balance)]]+FAR[[#This Row],[Accumulated impairments (Closing balance)]]</f>
        <v>-6395.8048127853945</v>
      </c>
      <c r="BT457" s="13">
        <f>FAR[[#This Row],[Accumulated depreciation (Opening balance)]]</f>
        <v>-26963.811479452052</v>
      </c>
      <c r="BU457" s="13"/>
      <c r="BV457" s="13"/>
      <c r="BW457" s="10"/>
      <c r="BX457" s="9"/>
      <c r="BY457" s="10"/>
      <c r="BZ457" t="s">
        <v>989</v>
      </c>
      <c r="CA457"/>
      <c r="CB457" s="34"/>
      <c r="CC457" s="34"/>
      <c r="CD457" s="34"/>
      <c r="CE457" s="141">
        <f>FAR[[#This Row],[Additions capitalised (@actual cost)]]/FAR[[#This Row],[EUL]]</f>
        <v>0</v>
      </c>
    </row>
    <row r="458" spans="1:83">
      <c r="A458" s="35" t="s">
        <v>709</v>
      </c>
      <c r="B458" s="9">
        <v>0</v>
      </c>
      <c r="C458" s="9" t="s">
        <v>54</v>
      </c>
      <c r="D458" s="10" t="s">
        <v>1</v>
      </c>
      <c r="E458" s="9" t="s">
        <v>115</v>
      </c>
      <c r="F458" s="36" t="s">
        <v>99</v>
      </c>
      <c r="G458" s="9" t="s">
        <v>100</v>
      </c>
      <c r="H458" s="3" t="s">
        <v>103</v>
      </c>
      <c r="I458" s="9" t="s">
        <v>100</v>
      </c>
      <c r="J458" s="36" t="s">
        <v>101</v>
      </c>
      <c r="K458" s="10" t="s">
        <v>559</v>
      </c>
      <c r="L458" s="10" t="s">
        <v>559</v>
      </c>
      <c r="M458" s="9" t="s">
        <v>100</v>
      </c>
      <c r="N458" s="10" t="s">
        <v>746</v>
      </c>
      <c r="O458" s="9" t="s">
        <v>100</v>
      </c>
      <c r="P458" s="10"/>
      <c r="Q458" s="10" t="s">
        <v>746</v>
      </c>
      <c r="R458" s="10" t="s">
        <v>119</v>
      </c>
      <c r="S458" s="10" t="s">
        <v>130</v>
      </c>
      <c r="T458" s="10" t="s">
        <v>120</v>
      </c>
      <c r="U458" s="10" t="s">
        <v>101</v>
      </c>
      <c r="V458" s="10" t="s">
        <v>121</v>
      </c>
      <c r="W458" s="10" t="s">
        <v>122</v>
      </c>
      <c r="X458" s="10" t="s">
        <v>123</v>
      </c>
      <c r="Y458" s="29">
        <v>1</v>
      </c>
      <c r="Z458" s="138" t="s">
        <v>764</v>
      </c>
      <c r="AA458" s="138">
        <v>44789</v>
      </c>
      <c r="AB458" s="9" t="s">
        <v>114</v>
      </c>
      <c r="AC458" s="9" t="s">
        <v>124</v>
      </c>
      <c r="AD458" s="15">
        <v>45016</v>
      </c>
      <c r="AE458" s="39" t="s">
        <v>125</v>
      </c>
      <c r="AF458" s="177">
        <v>3</v>
      </c>
      <c r="AG458" s="140">
        <v>0</v>
      </c>
      <c r="AH458" s="9">
        <v>0</v>
      </c>
      <c r="AI458" s="10" t="s">
        <v>126</v>
      </c>
      <c r="AJ458" s="10"/>
      <c r="AK458" s="29"/>
      <c r="AL458" s="12">
        <v>0.37808219178082192</v>
      </c>
      <c r="AM458" s="10">
        <v>0</v>
      </c>
      <c r="AN458" s="12">
        <f>FAR[[#This Row],[Opening RUL]]+FAR[[#This Row],[RUL Adjustment]]</f>
        <v>0.37808219178082192</v>
      </c>
      <c r="AO458" s="12">
        <f>FAR[[#This Row],[Opening RUL 30 June 2026]]-1</f>
        <v>-0.62191780821917808</v>
      </c>
      <c r="AP458" s="12">
        <v>0</v>
      </c>
      <c r="AQ458" s="139"/>
      <c r="AR458" s="10" t="s">
        <v>127</v>
      </c>
      <c r="AS458" s="13">
        <v>30852.01</v>
      </c>
      <c r="AT458" s="13"/>
      <c r="AU458" s="13"/>
      <c r="AV458" s="13"/>
      <c r="AW458" s="13"/>
      <c r="AX458" s="13">
        <v>30852.01</v>
      </c>
      <c r="AY458" s="13">
        <v>3888.1985205479468</v>
      </c>
      <c r="AZ458" s="13">
        <v>0</v>
      </c>
      <c r="BA458" s="13"/>
      <c r="BB458" s="13"/>
      <c r="BC458" s="13">
        <v>-26963.811479452052</v>
      </c>
      <c r="BD458" s="13"/>
      <c r="BE458" s="13" t="s">
        <v>114</v>
      </c>
      <c r="BF458" s="29"/>
      <c r="BG458" s="13"/>
      <c r="BH458" s="13">
        <f>-FAR[[#This Row],[Carrying value (opening balance)]]/FAR[[#This Row],[Opening RUL 30 June 2026]]</f>
        <v>-10284.003333333338</v>
      </c>
      <c r="BI458" s="13">
        <f>FAR[[#This Row],[Depreciation YTD]]/12</f>
        <v>-857.00027777777814</v>
      </c>
      <c r="BJ458" s="13"/>
      <c r="BK458" s="13" t="s">
        <v>116</v>
      </c>
      <c r="BL458" s="13">
        <v>0</v>
      </c>
      <c r="BM458" s="13">
        <f>FAR[[#This Row],[Accumulated depreciation (Opening balance)]]+FAR[[#This Row],[Depreciation YTD]]+FAR[[#This Row],[Derecognitions (acc dep) '[+']]]</f>
        <v>-37247.814812785393</v>
      </c>
      <c r="BN458" s="13"/>
      <c r="BO458" s="13"/>
      <c r="BP458" s="13"/>
      <c r="BQ458" s="13"/>
      <c r="BR45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58" s="13">
        <f>FAR[[#This Row],[Cost Price (closing balance)]]+FAR[[#This Row],[Accumulated depreciation (Closing balance)]]+FAR[[#This Row],[Accumulated impairments (Closing balance)]]</f>
        <v>-6395.8048127853945</v>
      </c>
      <c r="BT458" s="13">
        <f>FAR[[#This Row],[Accumulated depreciation (Opening balance)]]</f>
        <v>-26963.811479452052</v>
      </c>
      <c r="BU458" s="13"/>
      <c r="BV458" s="13"/>
      <c r="BW458" s="10"/>
      <c r="BX458" s="9"/>
      <c r="BY458" s="10"/>
      <c r="BZ458">
        <v>0</v>
      </c>
      <c r="CA458"/>
      <c r="CB458" s="34"/>
      <c r="CC458" s="34"/>
      <c r="CD458" s="34"/>
      <c r="CE458" s="141">
        <f>FAR[[#This Row],[Additions capitalised (@actual cost)]]/FAR[[#This Row],[EUL]]</f>
        <v>0</v>
      </c>
    </row>
    <row r="459" spans="1:83">
      <c r="A459" s="35" t="s">
        <v>710</v>
      </c>
      <c r="B459" s="9">
        <v>0</v>
      </c>
      <c r="C459" s="9" t="s">
        <v>54</v>
      </c>
      <c r="D459" s="10" t="s">
        <v>1</v>
      </c>
      <c r="E459" s="9" t="s">
        <v>115</v>
      </c>
      <c r="F459" s="36" t="s">
        <v>99</v>
      </c>
      <c r="G459" s="9" t="s">
        <v>100</v>
      </c>
      <c r="H459" s="3" t="s">
        <v>103</v>
      </c>
      <c r="I459" s="9" t="s">
        <v>100</v>
      </c>
      <c r="J459" s="36" t="s">
        <v>101</v>
      </c>
      <c r="K459" s="10" t="s">
        <v>559</v>
      </c>
      <c r="L459" s="10" t="s">
        <v>559</v>
      </c>
      <c r="M459" s="9" t="s">
        <v>100</v>
      </c>
      <c r="N459" s="10" t="s">
        <v>746</v>
      </c>
      <c r="O459" s="9" t="s">
        <v>100</v>
      </c>
      <c r="P459" s="10"/>
      <c r="Q459" s="10" t="s">
        <v>746</v>
      </c>
      <c r="R459" s="10" t="s">
        <v>119</v>
      </c>
      <c r="S459" s="10" t="s">
        <v>130</v>
      </c>
      <c r="T459" s="10" t="s">
        <v>120</v>
      </c>
      <c r="U459" s="10" t="s">
        <v>101</v>
      </c>
      <c r="V459" s="10" t="s">
        <v>121</v>
      </c>
      <c r="W459" s="10" t="s">
        <v>122</v>
      </c>
      <c r="X459" s="10" t="s">
        <v>123</v>
      </c>
      <c r="Y459" s="29">
        <v>1</v>
      </c>
      <c r="Z459" s="138" t="s">
        <v>764</v>
      </c>
      <c r="AA459" s="138">
        <v>44789</v>
      </c>
      <c r="AB459" s="9" t="s">
        <v>114</v>
      </c>
      <c r="AC459" s="9" t="s">
        <v>124</v>
      </c>
      <c r="AD459" s="15">
        <v>45016</v>
      </c>
      <c r="AE459" s="39" t="s">
        <v>125</v>
      </c>
      <c r="AF459" s="177">
        <v>3</v>
      </c>
      <c r="AG459" s="140">
        <v>0</v>
      </c>
      <c r="AH459" s="9">
        <v>0</v>
      </c>
      <c r="AI459" s="10" t="s">
        <v>126</v>
      </c>
      <c r="AJ459" s="10"/>
      <c r="AK459" s="29"/>
      <c r="AL459" s="12">
        <v>0.37808219178082192</v>
      </c>
      <c r="AM459" s="10">
        <v>0</v>
      </c>
      <c r="AN459" s="12">
        <f>FAR[[#This Row],[Opening RUL]]+FAR[[#This Row],[RUL Adjustment]]</f>
        <v>0.37808219178082192</v>
      </c>
      <c r="AO459" s="12">
        <f>FAR[[#This Row],[Opening RUL 30 June 2026]]-1</f>
        <v>-0.62191780821917808</v>
      </c>
      <c r="AP459" s="12">
        <v>0</v>
      </c>
      <c r="AQ459" s="139"/>
      <c r="AR459" s="10" t="s">
        <v>127</v>
      </c>
      <c r="AS459" s="13">
        <v>30852.01</v>
      </c>
      <c r="AT459" s="13"/>
      <c r="AU459" s="13"/>
      <c r="AV459" s="13"/>
      <c r="AW459" s="13"/>
      <c r="AX459" s="13">
        <v>30852.01</v>
      </c>
      <c r="AY459" s="13">
        <v>3888.1985205479468</v>
      </c>
      <c r="AZ459" s="13">
        <v>0</v>
      </c>
      <c r="BA459" s="13"/>
      <c r="BB459" s="13"/>
      <c r="BC459" s="13">
        <v>-26963.811479452052</v>
      </c>
      <c r="BD459" s="13"/>
      <c r="BE459" s="13" t="s">
        <v>114</v>
      </c>
      <c r="BF459" s="29"/>
      <c r="BG459" s="13"/>
      <c r="BH459" s="13">
        <f>-FAR[[#This Row],[Carrying value (opening balance)]]/FAR[[#This Row],[Opening RUL 30 June 2026]]</f>
        <v>-10284.003333333338</v>
      </c>
      <c r="BI459" s="13">
        <f>FAR[[#This Row],[Depreciation YTD]]/12</f>
        <v>-857.00027777777814</v>
      </c>
      <c r="BJ459" s="13"/>
      <c r="BK459" s="13" t="s">
        <v>116</v>
      </c>
      <c r="BL459" s="13">
        <v>0</v>
      </c>
      <c r="BM459" s="13">
        <f>FAR[[#This Row],[Accumulated depreciation (Opening balance)]]+FAR[[#This Row],[Depreciation YTD]]+FAR[[#This Row],[Derecognitions (acc dep) '[+']]]</f>
        <v>-37247.814812785393</v>
      </c>
      <c r="BN459" s="13"/>
      <c r="BO459" s="13"/>
      <c r="BP459" s="13"/>
      <c r="BQ459" s="13"/>
      <c r="BR45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59" s="13">
        <f>FAR[[#This Row],[Cost Price (closing balance)]]+FAR[[#This Row],[Accumulated depreciation (Closing balance)]]+FAR[[#This Row],[Accumulated impairments (Closing balance)]]</f>
        <v>-6395.8048127853945</v>
      </c>
      <c r="BT459" s="13">
        <f>FAR[[#This Row],[Accumulated depreciation (Opening balance)]]</f>
        <v>-26963.811479452052</v>
      </c>
      <c r="BU459" s="13"/>
      <c r="BV459" s="13"/>
      <c r="BW459" s="10"/>
      <c r="BX459" s="9"/>
      <c r="BY459" s="10"/>
      <c r="BZ459">
        <v>0</v>
      </c>
      <c r="CA459"/>
      <c r="CB459" s="34"/>
      <c r="CC459" s="34"/>
      <c r="CD459" s="34"/>
      <c r="CE459" s="141">
        <f>FAR[[#This Row],[Additions capitalised (@actual cost)]]/FAR[[#This Row],[EUL]]</f>
        <v>0</v>
      </c>
    </row>
    <row r="460" spans="1:83">
      <c r="A460" s="35" t="s">
        <v>711</v>
      </c>
      <c r="B460" s="9">
        <v>0</v>
      </c>
      <c r="C460" s="9" t="s">
        <v>54</v>
      </c>
      <c r="D460" s="10" t="s">
        <v>1</v>
      </c>
      <c r="E460" s="9" t="s">
        <v>115</v>
      </c>
      <c r="F460" s="36" t="s">
        <v>99</v>
      </c>
      <c r="G460" s="9" t="s">
        <v>100</v>
      </c>
      <c r="H460" s="3" t="s">
        <v>103</v>
      </c>
      <c r="I460" s="9" t="s">
        <v>100</v>
      </c>
      <c r="J460" s="36" t="s">
        <v>101</v>
      </c>
      <c r="K460" s="10" t="s">
        <v>559</v>
      </c>
      <c r="L460" s="10" t="s">
        <v>559</v>
      </c>
      <c r="M460" s="9" t="s">
        <v>100</v>
      </c>
      <c r="N460" s="10" t="s">
        <v>747</v>
      </c>
      <c r="O460" s="9" t="s">
        <v>100</v>
      </c>
      <c r="P460" s="10"/>
      <c r="Q460" s="10" t="s">
        <v>747</v>
      </c>
      <c r="R460" s="10" t="s">
        <v>119</v>
      </c>
      <c r="S460" s="10" t="s">
        <v>130</v>
      </c>
      <c r="T460" s="10" t="s">
        <v>120</v>
      </c>
      <c r="U460" s="10" t="s">
        <v>101</v>
      </c>
      <c r="V460" s="10" t="s">
        <v>121</v>
      </c>
      <c r="W460" s="10" t="s">
        <v>122</v>
      </c>
      <c r="X460" s="10" t="s">
        <v>123</v>
      </c>
      <c r="Y460" s="29">
        <v>1</v>
      </c>
      <c r="Z460" s="138" t="s">
        <v>764</v>
      </c>
      <c r="AA460" s="138">
        <v>44789</v>
      </c>
      <c r="AB460" s="9" t="s">
        <v>114</v>
      </c>
      <c r="AC460" s="9" t="s">
        <v>124</v>
      </c>
      <c r="AD460" s="15">
        <v>45016</v>
      </c>
      <c r="AE460" s="39" t="s">
        <v>125</v>
      </c>
      <c r="AF460" s="177">
        <v>3</v>
      </c>
      <c r="AG460" s="140">
        <v>0</v>
      </c>
      <c r="AH460" s="9">
        <v>0</v>
      </c>
      <c r="AI460" s="10" t="s">
        <v>126</v>
      </c>
      <c r="AJ460" s="10"/>
      <c r="AK460" s="29"/>
      <c r="AL460" s="12">
        <v>0.37808219178082192</v>
      </c>
      <c r="AM460" s="10">
        <v>0</v>
      </c>
      <c r="AN460" s="12">
        <f>FAR[[#This Row],[Opening RUL]]+FAR[[#This Row],[RUL Adjustment]]</f>
        <v>0.37808219178082192</v>
      </c>
      <c r="AO460" s="12">
        <f>FAR[[#This Row],[Opening RUL 30 June 2026]]-1</f>
        <v>-0.62191780821917808</v>
      </c>
      <c r="AP460" s="12">
        <v>0</v>
      </c>
      <c r="AQ460" s="139"/>
      <c r="AR460" s="10" t="s">
        <v>127</v>
      </c>
      <c r="AS460" s="13">
        <v>30852.01</v>
      </c>
      <c r="AT460" s="13"/>
      <c r="AU460" s="13"/>
      <c r="AV460" s="13"/>
      <c r="AW460" s="13"/>
      <c r="AX460" s="13">
        <v>30852.01</v>
      </c>
      <c r="AY460" s="13">
        <v>3888.1985205479468</v>
      </c>
      <c r="AZ460" s="13">
        <v>0</v>
      </c>
      <c r="BA460" s="13"/>
      <c r="BB460" s="13"/>
      <c r="BC460" s="13">
        <v>-26963.811479452052</v>
      </c>
      <c r="BD460" s="13"/>
      <c r="BE460" s="13" t="s">
        <v>114</v>
      </c>
      <c r="BF460" s="29"/>
      <c r="BG460" s="13"/>
      <c r="BH460" s="13">
        <f>-FAR[[#This Row],[Carrying value (opening balance)]]/FAR[[#This Row],[Opening RUL 30 June 2026]]</f>
        <v>-10284.003333333338</v>
      </c>
      <c r="BI460" s="13">
        <f>FAR[[#This Row],[Depreciation YTD]]/12</f>
        <v>-857.00027777777814</v>
      </c>
      <c r="BJ460" s="13"/>
      <c r="BK460" s="13" t="s">
        <v>116</v>
      </c>
      <c r="BL460" s="13">
        <v>0</v>
      </c>
      <c r="BM460" s="13">
        <f>FAR[[#This Row],[Accumulated depreciation (Opening balance)]]+FAR[[#This Row],[Depreciation YTD]]+FAR[[#This Row],[Derecognitions (acc dep) '[+']]]</f>
        <v>-37247.814812785393</v>
      </c>
      <c r="BN460" s="13"/>
      <c r="BO460" s="13"/>
      <c r="BP460" s="13"/>
      <c r="BQ460" s="13"/>
      <c r="BR46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60" s="13">
        <f>FAR[[#This Row],[Cost Price (closing balance)]]+FAR[[#This Row],[Accumulated depreciation (Closing balance)]]+FAR[[#This Row],[Accumulated impairments (Closing balance)]]</f>
        <v>-6395.8048127853945</v>
      </c>
      <c r="BT460" s="13">
        <f>FAR[[#This Row],[Accumulated depreciation (Opening balance)]]</f>
        <v>-26963.811479452052</v>
      </c>
      <c r="BU460" s="13"/>
      <c r="BV460" s="13"/>
      <c r="BW460" s="10"/>
      <c r="BX460" s="9"/>
      <c r="BY460" s="10"/>
      <c r="BZ460">
        <v>0</v>
      </c>
      <c r="CA460"/>
      <c r="CB460" s="34"/>
      <c r="CC460" s="34"/>
      <c r="CD460" s="34"/>
      <c r="CE460" s="141">
        <f>FAR[[#This Row],[Additions capitalised (@actual cost)]]/FAR[[#This Row],[EUL]]</f>
        <v>0</v>
      </c>
    </row>
    <row r="461" spans="1:83">
      <c r="A461" s="35" t="s">
        <v>712</v>
      </c>
      <c r="B461" s="9">
        <v>0</v>
      </c>
      <c r="C461" s="9" t="s">
        <v>54</v>
      </c>
      <c r="D461" s="10" t="s">
        <v>1</v>
      </c>
      <c r="E461" s="9" t="s">
        <v>115</v>
      </c>
      <c r="F461" s="36" t="s">
        <v>99</v>
      </c>
      <c r="G461" s="9" t="s">
        <v>100</v>
      </c>
      <c r="H461" s="3" t="s">
        <v>103</v>
      </c>
      <c r="I461" s="9" t="s">
        <v>100</v>
      </c>
      <c r="J461" s="36" t="s">
        <v>101</v>
      </c>
      <c r="K461" s="10" t="s">
        <v>559</v>
      </c>
      <c r="L461" s="10" t="s">
        <v>559</v>
      </c>
      <c r="M461" s="9" t="s">
        <v>100</v>
      </c>
      <c r="N461" s="10" t="s">
        <v>746</v>
      </c>
      <c r="O461" s="9" t="s">
        <v>100</v>
      </c>
      <c r="P461" s="10"/>
      <c r="Q461" s="10" t="s">
        <v>746</v>
      </c>
      <c r="R461" s="10" t="s">
        <v>119</v>
      </c>
      <c r="S461" s="10" t="s">
        <v>130</v>
      </c>
      <c r="T461" s="10" t="s">
        <v>120</v>
      </c>
      <c r="U461" s="10" t="s">
        <v>101</v>
      </c>
      <c r="V461" s="10" t="s">
        <v>121</v>
      </c>
      <c r="W461" s="10" t="s">
        <v>122</v>
      </c>
      <c r="X461" s="10" t="s">
        <v>123</v>
      </c>
      <c r="Y461" s="29">
        <v>1</v>
      </c>
      <c r="Z461" s="138" t="s">
        <v>764</v>
      </c>
      <c r="AA461" s="138">
        <v>44789</v>
      </c>
      <c r="AB461" s="9" t="s">
        <v>114</v>
      </c>
      <c r="AC461" s="9" t="s">
        <v>124</v>
      </c>
      <c r="AD461" s="15">
        <v>45016</v>
      </c>
      <c r="AE461" s="39" t="s">
        <v>125</v>
      </c>
      <c r="AF461" s="177">
        <v>3</v>
      </c>
      <c r="AG461" s="140">
        <v>0</v>
      </c>
      <c r="AH461" s="9">
        <v>0</v>
      </c>
      <c r="AI461" s="10" t="s">
        <v>126</v>
      </c>
      <c r="AJ461" s="10"/>
      <c r="AK461" s="29"/>
      <c r="AL461" s="12">
        <v>0.37808219178082192</v>
      </c>
      <c r="AM461" s="10">
        <v>0</v>
      </c>
      <c r="AN461" s="12">
        <f>FAR[[#This Row],[Opening RUL]]+FAR[[#This Row],[RUL Adjustment]]</f>
        <v>0.37808219178082192</v>
      </c>
      <c r="AO461" s="12">
        <f>FAR[[#This Row],[Opening RUL 30 June 2026]]-1</f>
        <v>-0.62191780821917808</v>
      </c>
      <c r="AP461" s="12">
        <v>0</v>
      </c>
      <c r="AQ461" s="139"/>
      <c r="AR461" s="10" t="s">
        <v>127</v>
      </c>
      <c r="AS461" s="13">
        <v>27181.49</v>
      </c>
      <c r="AT461" s="13"/>
      <c r="AU461" s="13"/>
      <c r="AV461" s="13"/>
      <c r="AW461" s="13"/>
      <c r="AX461" s="13">
        <v>27181.49</v>
      </c>
      <c r="AY461" s="13">
        <v>3425.6124383561655</v>
      </c>
      <c r="AZ461" s="13">
        <v>0</v>
      </c>
      <c r="BA461" s="13"/>
      <c r="BB461" s="13"/>
      <c r="BC461" s="13">
        <v>-23755.877561643836</v>
      </c>
      <c r="BD461" s="13"/>
      <c r="BE461" s="13" t="s">
        <v>114</v>
      </c>
      <c r="BF461" s="29"/>
      <c r="BG461" s="13"/>
      <c r="BH461" s="13">
        <f>-FAR[[#This Row],[Carrying value (opening balance)]]/FAR[[#This Row],[Opening RUL 30 June 2026]]</f>
        <v>-9060.4966666666696</v>
      </c>
      <c r="BI461" s="13">
        <f>FAR[[#This Row],[Depreciation YTD]]/12</f>
        <v>-755.04138888888917</v>
      </c>
      <c r="BJ461" s="13"/>
      <c r="BK461" s="13" t="s">
        <v>116</v>
      </c>
      <c r="BL461" s="13">
        <v>0</v>
      </c>
      <c r="BM461" s="13">
        <f>FAR[[#This Row],[Accumulated depreciation (Opening balance)]]+FAR[[#This Row],[Depreciation YTD]]+FAR[[#This Row],[Derecognitions (acc dep) '[+']]]</f>
        <v>-32816.374228310509</v>
      </c>
      <c r="BN461" s="13"/>
      <c r="BO461" s="13"/>
      <c r="BP461" s="13"/>
      <c r="BQ461" s="13"/>
      <c r="BR46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61" s="13">
        <f>FAR[[#This Row],[Cost Price (closing balance)]]+FAR[[#This Row],[Accumulated depreciation (Closing balance)]]+FAR[[#This Row],[Accumulated impairments (Closing balance)]]</f>
        <v>-5634.8842283105078</v>
      </c>
      <c r="BT461" s="13">
        <f>FAR[[#This Row],[Accumulated depreciation (Opening balance)]]</f>
        <v>-23755.877561643836</v>
      </c>
      <c r="BU461" s="13"/>
      <c r="BV461" s="13"/>
      <c r="BW461" s="10"/>
      <c r="BX461" s="9"/>
      <c r="BY461" s="10"/>
      <c r="BZ461">
        <v>0</v>
      </c>
      <c r="CA461"/>
      <c r="CB461" s="34"/>
      <c r="CC461" s="34"/>
      <c r="CD461" s="34"/>
      <c r="CE461" s="141">
        <f>FAR[[#This Row],[Additions capitalised (@actual cost)]]/FAR[[#This Row],[EUL]]</f>
        <v>0</v>
      </c>
    </row>
    <row r="462" spans="1:83">
      <c r="A462" s="35">
        <v>1569</v>
      </c>
      <c r="B462" s="9" t="s">
        <v>851</v>
      </c>
      <c r="C462" s="9" t="s">
        <v>54</v>
      </c>
      <c r="D462" s="10" t="s">
        <v>1</v>
      </c>
      <c r="E462" s="9" t="s">
        <v>115</v>
      </c>
      <c r="F462" s="36" t="s">
        <v>99</v>
      </c>
      <c r="G462" s="9" t="s">
        <v>100</v>
      </c>
      <c r="H462" s="3" t="s">
        <v>103</v>
      </c>
      <c r="I462" s="9" t="s">
        <v>100</v>
      </c>
      <c r="J462" s="36" t="s">
        <v>101</v>
      </c>
      <c r="K462" s="10" t="s">
        <v>559</v>
      </c>
      <c r="L462" s="10" t="s">
        <v>559</v>
      </c>
      <c r="M462" s="9" t="s">
        <v>100</v>
      </c>
      <c r="N462" s="10" t="s">
        <v>748</v>
      </c>
      <c r="O462" s="9" t="s">
        <v>100</v>
      </c>
      <c r="P462" s="10"/>
      <c r="Q462" s="10" t="s">
        <v>748</v>
      </c>
      <c r="R462" s="10" t="s">
        <v>119</v>
      </c>
      <c r="S462" s="10" t="s">
        <v>130</v>
      </c>
      <c r="T462" s="10" t="s">
        <v>120</v>
      </c>
      <c r="U462" s="10" t="s">
        <v>101</v>
      </c>
      <c r="V462" s="10" t="s">
        <v>121</v>
      </c>
      <c r="W462" s="10" t="s">
        <v>122</v>
      </c>
      <c r="X462" s="10" t="s">
        <v>123</v>
      </c>
      <c r="Y462" s="29">
        <v>1</v>
      </c>
      <c r="Z462" s="138" t="s">
        <v>765</v>
      </c>
      <c r="AA462" s="138">
        <v>44868</v>
      </c>
      <c r="AB462" s="9" t="s">
        <v>114</v>
      </c>
      <c r="AC462" s="9" t="s">
        <v>124</v>
      </c>
      <c r="AD462" s="15">
        <v>45016</v>
      </c>
      <c r="AE462" s="39" t="s">
        <v>125</v>
      </c>
      <c r="AF462" s="177">
        <v>6</v>
      </c>
      <c r="AG462" s="140">
        <v>0</v>
      </c>
      <c r="AH462" s="9">
        <v>0</v>
      </c>
      <c r="AI462" s="10" t="s">
        <v>126</v>
      </c>
      <c r="AJ462" s="10"/>
      <c r="AK462" s="29"/>
      <c r="AL462" s="12">
        <v>3.5945205479452058</v>
      </c>
      <c r="AM462" s="10">
        <v>0</v>
      </c>
      <c r="AN462" s="12">
        <f>FAR[[#This Row],[Opening RUL]]+FAR[[#This Row],[RUL Adjustment]]</f>
        <v>3.5945205479452058</v>
      </c>
      <c r="AO462" s="12">
        <f>FAR[[#This Row],[Opening RUL 30 June 2026]]-1</f>
        <v>2.5945205479452058</v>
      </c>
      <c r="AP462" s="12" t="s">
        <v>1051</v>
      </c>
      <c r="AQ462" s="139"/>
      <c r="AR462" s="10" t="s">
        <v>127</v>
      </c>
      <c r="AS462" s="109">
        <v>23099</v>
      </c>
      <c r="AT462" s="109"/>
      <c r="AU462" s="13"/>
      <c r="AV462" s="13"/>
      <c r="AW462" s="13"/>
      <c r="AX462" s="13">
        <v>23099</v>
      </c>
      <c r="AY462" s="13">
        <v>4499.5500000000011</v>
      </c>
      <c r="AZ462" s="13">
        <v>0</v>
      </c>
      <c r="BA462" s="13"/>
      <c r="BB462" s="13"/>
      <c r="BC462" s="13">
        <v>-9260.6949771689488</v>
      </c>
      <c r="BD462" s="13"/>
      <c r="BE462" s="13" t="s">
        <v>114</v>
      </c>
      <c r="BF462" s="29"/>
      <c r="BG462" s="13"/>
      <c r="BH462" s="13">
        <f>-FAR[[#This Row],[Carrying value (opening balance)]]/FAR[[#This Row],[Opening RUL 30 June 2026]]</f>
        <v>-1251.7802972560978</v>
      </c>
      <c r="BI462" s="13">
        <f>FAR[[#This Row],[Depreciation YTD]]/12</f>
        <v>-104.31502477134148</v>
      </c>
      <c r="BJ462" s="13"/>
      <c r="BK462" s="13" t="s">
        <v>116</v>
      </c>
      <c r="BL462" s="13">
        <v>0</v>
      </c>
      <c r="BM462" s="13">
        <f>FAR[[#This Row],[Accumulated depreciation (Opening balance)]]+FAR[[#This Row],[Depreciation YTD]]+FAR[[#This Row],[Derecognitions (acc dep) '[+']]]</f>
        <v>-10512.475274425047</v>
      </c>
      <c r="BN462" s="13">
        <v>-9338.7550228310502</v>
      </c>
      <c r="BO462" s="13">
        <v>0</v>
      </c>
      <c r="BP462" s="13"/>
      <c r="BQ462" s="13"/>
      <c r="BR462" s="13">
        <v>-9338.7550228310502</v>
      </c>
      <c r="BS462" s="13">
        <f>FAR[[#This Row],[Cost Price (closing balance)]]+FAR[[#This Row],[Accumulated depreciation (Closing balance)]]+FAR[[#This Row],[Accumulated impairments (Closing balance)]]</f>
        <v>3247.7697027439026</v>
      </c>
      <c r="BT462" s="13">
        <f>FAR[[#This Row],[Accumulated depreciation (Opening balance)]]</f>
        <v>-9260.6949771689488</v>
      </c>
      <c r="BU462" s="13"/>
      <c r="BV462" s="13"/>
      <c r="BW462" s="10"/>
      <c r="BX462" s="9"/>
      <c r="BY462" s="10"/>
      <c r="BZ462" t="s">
        <v>940</v>
      </c>
      <c r="CA462"/>
      <c r="CB462" s="34"/>
      <c r="CC462" s="34"/>
      <c r="CD462" s="34"/>
      <c r="CE462" s="141">
        <f>FAR[[#This Row],[Additions capitalised (@actual cost)]]/FAR[[#This Row],[EUL]]</f>
        <v>0</v>
      </c>
    </row>
    <row r="463" spans="1:83">
      <c r="A463" s="35">
        <v>1713</v>
      </c>
      <c r="B463" s="9" t="e">
        <f>VLOOKUP(FAR[[#This Row],[Component ID/ Bar code]],[3]nhc!$I$1:$P$686,8,0)</f>
        <v>#REF!</v>
      </c>
      <c r="C463" s="9" t="s">
        <v>54</v>
      </c>
      <c r="D463" s="10" t="s">
        <v>1</v>
      </c>
      <c r="E463" s="9" t="s">
        <v>115</v>
      </c>
      <c r="F463" s="36" t="s">
        <v>99</v>
      </c>
      <c r="G463" s="9" t="s">
        <v>100</v>
      </c>
      <c r="H463" s="3" t="s">
        <v>103</v>
      </c>
      <c r="I463" s="9" t="s">
        <v>100</v>
      </c>
      <c r="J463" s="36" t="s">
        <v>101</v>
      </c>
      <c r="K463" s="10" t="s">
        <v>559</v>
      </c>
      <c r="L463" s="10" t="s">
        <v>559</v>
      </c>
      <c r="M463" s="9" t="s">
        <v>100</v>
      </c>
      <c r="N463" s="10" t="s">
        <v>827</v>
      </c>
      <c r="O463" s="9" t="s">
        <v>100</v>
      </c>
      <c r="P463" s="10"/>
      <c r="Q463" s="10" t="s">
        <v>827</v>
      </c>
      <c r="R463" s="10" t="s">
        <v>119</v>
      </c>
      <c r="S463" s="10" t="s">
        <v>130</v>
      </c>
      <c r="T463" s="10" t="s">
        <v>120</v>
      </c>
      <c r="U463" s="10" t="s">
        <v>101</v>
      </c>
      <c r="V463" s="10" t="s">
        <v>121</v>
      </c>
      <c r="W463" s="10" t="s">
        <v>122</v>
      </c>
      <c r="X463" s="10" t="s">
        <v>123</v>
      </c>
      <c r="Y463" s="29">
        <v>1</v>
      </c>
      <c r="Z463" s="138" t="s">
        <v>847</v>
      </c>
      <c r="AA463" s="138">
        <v>45064</v>
      </c>
      <c r="AB463" s="9" t="s">
        <v>114</v>
      </c>
      <c r="AC463" s="9" t="s">
        <v>124</v>
      </c>
      <c r="AD463" s="15">
        <v>45382</v>
      </c>
      <c r="AE463" s="39" t="s">
        <v>125</v>
      </c>
      <c r="AF463" s="177">
        <v>5</v>
      </c>
      <c r="AG463" s="140">
        <v>0</v>
      </c>
      <c r="AH463" s="9">
        <v>0</v>
      </c>
      <c r="AI463" s="10" t="s">
        <v>126</v>
      </c>
      <c r="AJ463" s="10"/>
      <c r="AK463" s="29"/>
      <c r="AL463" s="12">
        <v>3.1287671232876715</v>
      </c>
      <c r="AM463" s="10">
        <v>0</v>
      </c>
      <c r="AN463" s="12">
        <f>FAR[[#This Row],[Opening RUL]]+FAR[[#This Row],[RUL Adjustment]]</f>
        <v>3.1287671232876715</v>
      </c>
      <c r="AO463" s="12">
        <f>FAR[[#This Row],[Opening RUL 30 June 2026]]-1</f>
        <v>2.1287671232876715</v>
      </c>
      <c r="AP463" s="12">
        <v>0</v>
      </c>
      <c r="AQ463" s="139"/>
      <c r="AR463" s="10" t="s">
        <v>127</v>
      </c>
      <c r="AS463" s="13">
        <v>58000</v>
      </c>
      <c r="AT463" s="13"/>
      <c r="AU463" s="13"/>
      <c r="AV463" s="13"/>
      <c r="AW463" s="13"/>
      <c r="AX463" s="13">
        <v>58000</v>
      </c>
      <c r="AY463" s="13">
        <v>36293.698630136991</v>
      </c>
      <c r="AZ463" s="13">
        <v>0</v>
      </c>
      <c r="BA463" s="13"/>
      <c r="BB463" s="13"/>
      <c r="BC463" s="13">
        <v>-21706.301369863013</v>
      </c>
      <c r="BD463" s="13"/>
      <c r="BE463" s="13" t="s">
        <v>114</v>
      </c>
      <c r="BF463" s="29"/>
      <c r="BG463" s="13"/>
      <c r="BH463" s="13">
        <f>-FAR[[#This Row],[Carrying value (opening balance)]]/FAR[[#This Row],[Opening RUL 30 June 2026]]</f>
        <v>-11600</v>
      </c>
      <c r="BI463" s="13">
        <f>FAR[[#This Row],[Depreciation YTD]]/12</f>
        <v>-966.66666666666663</v>
      </c>
      <c r="BJ463" s="13"/>
      <c r="BK463" s="13" t="s">
        <v>116</v>
      </c>
      <c r="BL463" s="13">
        <v>0</v>
      </c>
      <c r="BM463" s="13">
        <f>FAR[[#This Row],[Accumulated depreciation (Opening balance)]]+FAR[[#This Row],[Depreciation YTD]]+FAR[[#This Row],[Derecognitions (acc dep) '[+']]]</f>
        <v>-33306.301369863009</v>
      </c>
      <c r="BN463" s="13"/>
      <c r="BO463" s="13"/>
      <c r="BP463" s="13"/>
      <c r="BQ463" s="13"/>
      <c r="BR46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63" s="13">
        <f>FAR[[#This Row],[Cost Price (closing balance)]]+FAR[[#This Row],[Accumulated depreciation (Closing balance)]]+FAR[[#This Row],[Accumulated impairments (Closing balance)]]</f>
        <v>24693.698630136991</v>
      </c>
      <c r="BT463" s="13">
        <f>FAR[[#This Row],[Accumulated depreciation (Opening balance)]]</f>
        <v>-21706.301369863013</v>
      </c>
      <c r="BU463" s="13"/>
      <c r="BV463" s="13"/>
      <c r="BW463" s="10"/>
      <c r="BX463" s="9"/>
      <c r="BY463" s="10"/>
      <c r="BZ463">
        <v>0</v>
      </c>
      <c r="CA463"/>
      <c r="CB463" s="34"/>
      <c r="CC463" s="34"/>
      <c r="CD463" s="34"/>
      <c r="CE463" s="141">
        <f>FAR[[#This Row],[Additions capitalised (@actual cost)]]/FAR[[#This Row],[EUL]]</f>
        <v>0</v>
      </c>
    </row>
    <row r="464" spans="1:83">
      <c r="A464" s="35">
        <v>1714</v>
      </c>
      <c r="B464" s="9" t="e">
        <f>VLOOKUP(FAR[[#This Row],[Component ID/ Bar code]],[3]nhc!$I$1:$P$686,8,0)</f>
        <v>#REF!</v>
      </c>
      <c r="C464" s="9" t="s">
        <v>54</v>
      </c>
      <c r="D464" s="10" t="s">
        <v>1</v>
      </c>
      <c r="E464" s="9" t="s">
        <v>115</v>
      </c>
      <c r="F464" s="36" t="s">
        <v>99</v>
      </c>
      <c r="G464" s="9" t="s">
        <v>100</v>
      </c>
      <c r="H464" s="3" t="s">
        <v>103</v>
      </c>
      <c r="I464" s="9" t="s">
        <v>100</v>
      </c>
      <c r="J464" s="36" t="s">
        <v>101</v>
      </c>
      <c r="K464" s="10" t="s">
        <v>559</v>
      </c>
      <c r="L464" s="10" t="s">
        <v>559</v>
      </c>
      <c r="M464" s="9" t="s">
        <v>100</v>
      </c>
      <c r="N464" s="10" t="s">
        <v>828</v>
      </c>
      <c r="O464" s="9" t="s">
        <v>100</v>
      </c>
      <c r="P464" s="10"/>
      <c r="Q464" s="10" t="s">
        <v>828</v>
      </c>
      <c r="R464" s="10" t="s">
        <v>119</v>
      </c>
      <c r="S464" s="10" t="s">
        <v>130</v>
      </c>
      <c r="T464" s="10" t="s">
        <v>120</v>
      </c>
      <c r="U464" s="10" t="s">
        <v>101</v>
      </c>
      <c r="V464" s="10" t="s">
        <v>121</v>
      </c>
      <c r="W464" s="10" t="s">
        <v>122</v>
      </c>
      <c r="X464" s="10" t="s">
        <v>123</v>
      </c>
      <c r="Y464" s="29">
        <v>1</v>
      </c>
      <c r="Z464" s="138" t="s">
        <v>848</v>
      </c>
      <c r="AA464" s="138">
        <v>45120</v>
      </c>
      <c r="AB464" s="9" t="s">
        <v>114</v>
      </c>
      <c r="AC464" s="9" t="s">
        <v>124</v>
      </c>
      <c r="AD464" s="15">
        <v>45382</v>
      </c>
      <c r="AE464" s="39" t="s">
        <v>125</v>
      </c>
      <c r="AF464" s="177">
        <v>5</v>
      </c>
      <c r="AG464" s="140">
        <v>0</v>
      </c>
      <c r="AH464" s="9">
        <v>0</v>
      </c>
      <c r="AI464" s="10" t="s">
        <v>126</v>
      </c>
      <c r="AJ464" s="10"/>
      <c r="AK464" s="29"/>
      <c r="AL464" s="12">
        <v>3.2821917808219174</v>
      </c>
      <c r="AM464" s="10">
        <v>0</v>
      </c>
      <c r="AN464" s="12">
        <f>FAR[[#This Row],[Opening RUL]]+FAR[[#This Row],[RUL Adjustment]]</f>
        <v>3.2821917808219174</v>
      </c>
      <c r="AO464" s="12">
        <f>FAR[[#This Row],[Opening RUL 30 June 2026]]-1</f>
        <v>2.2821917808219174</v>
      </c>
      <c r="AP464" s="12">
        <v>0</v>
      </c>
      <c r="AQ464" s="139"/>
      <c r="AR464" s="10" t="s">
        <v>127</v>
      </c>
      <c r="AS464" s="13">
        <v>42973.2</v>
      </c>
      <c r="AT464" s="13"/>
      <c r="AU464" s="13"/>
      <c r="AV464" s="13"/>
      <c r="AW464" s="13"/>
      <c r="AX464" s="13">
        <v>42973.2</v>
      </c>
      <c r="AY464" s="13">
        <v>28209.256767123286</v>
      </c>
      <c r="AZ464" s="13">
        <v>0</v>
      </c>
      <c r="BA464" s="13"/>
      <c r="BB464" s="13"/>
      <c r="BC464" s="13">
        <v>-14763.943232876711</v>
      </c>
      <c r="BD464" s="13"/>
      <c r="BE464" s="13" t="s">
        <v>114</v>
      </c>
      <c r="BF464" s="29"/>
      <c r="BG464" s="13"/>
      <c r="BH464" s="13">
        <f>-FAR[[#This Row],[Carrying value (opening balance)]]/FAR[[#This Row],[Opening RUL 30 June 2026]]</f>
        <v>-8594.6400000000012</v>
      </c>
      <c r="BI464" s="13">
        <f>FAR[[#This Row],[Depreciation YTD]]/12</f>
        <v>-716.22000000000014</v>
      </c>
      <c r="BJ464" s="13"/>
      <c r="BK464" s="13" t="s">
        <v>116</v>
      </c>
      <c r="BL464" s="13">
        <v>0</v>
      </c>
      <c r="BM464" s="13">
        <f>FAR[[#This Row],[Accumulated depreciation (Opening balance)]]+FAR[[#This Row],[Depreciation YTD]]+FAR[[#This Row],[Derecognitions (acc dep) '[+']]]</f>
        <v>-23358.583232876714</v>
      </c>
      <c r="BN464" s="13"/>
      <c r="BO464" s="13"/>
      <c r="BP464" s="13"/>
      <c r="BQ464" s="13"/>
      <c r="BR46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64" s="13">
        <f>FAR[[#This Row],[Cost Price (closing balance)]]+FAR[[#This Row],[Accumulated depreciation (Closing balance)]]+FAR[[#This Row],[Accumulated impairments (Closing balance)]]</f>
        <v>19614.616767123283</v>
      </c>
      <c r="BT464" s="13">
        <f>FAR[[#This Row],[Accumulated depreciation (Opening balance)]]</f>
        <v>-14763.943232876711</v>
      </c>
      <c r="BU464" s="13"/>
      <c r="BV464" s="13"/>
      <c r="BW464" s="10"/>
      <c r="BX464" s="9"/>
      <c r="BY464" s="10"/>
      <c r="BZ464">
        <v>0</v>
      </c>
      <c r="CA464"/>
      <c r="CB464" s="34"/>
      <c r="CC464" s="34"/>
      <c r="CD464" s="34"/>
      <c r="CE464" s="141">
        <f>FAR[[#This Row],[Additions capitalised (@actual cost)]]/FAR[[#This Row],[EUL]]</f>
        <v>0</v>
      </c>
    </row>
    <row r="465" spans="1:83">
      <c r="A465" s="35">
        <v>1747</v>
      </c>
      <c r="B465" s="9" t="e">
        <f>VLOOKUP(FAR[[#This Row],[Component ID/ Bar code]],[3]nhc!$I$1:$P$686,8,0)</f>
        <v>#REF!</v>
      </c>
      <c r="C465" s="9" t="s">
        <v>54</v>
      </c>
      <c r="D465" s="10" t="s">
        <v>1</v>
      </c>
      <c r="E465" s="9" t="s">
        <v>115</v>
      </c>
      <c r="F465" s="36" t="s">
        <v>99</v>
      </c>
      <c r="G465" s="9" t="s">
        <v>100</v>
      </c>
      <c r="H465" s="3" t="s">
        <v>103</v>
      </c>
      <c r="I465" s="9" t="s">
        <v>100</v>
      </c>
      <c r="J465" s="36" t="s">
        <v>101</v>
      </c>
      <c r="K465" s="10" t="s">
        <v>559</v>
      </c>
      <c r="L465" s="10" t="s">
        <v>559</v>
      </c>
      <c r="M465" s="9" t="s">
        <v>100</v>
      </c>
      <c r="N465" s="10" t="s">
        <v>829</v>
      </c>
      <c r="O465" s="9" t="s">
        <v>100</v>
      </c>
      <c r="P465" s="10"/>
      <c r="Q465" s="10" t="s">
        <v>829</v>
      </c>
      <c r="R465" s="10" t="s">
        <v>119</v>
      </c>
      <c r="S465" s="10" t="s">
        <v>130</v>
      </c>
      <c r="T465" s="10" t="s">
        <v>120</v>
      </c>
      <c r="U465" s="10" t="s">
        <v>101</v>
      </c>
      <c r="V465" s="10" t="s">
        <v>121</v>
      </c>
      <c r="W465" s="10" t="s">
        <v>122</v>
      </c>
      <c r="X465" s="10" t="s">
        <v>123</v>
      </c>
      <c r="Y465" s="29">
        <v>1</v>
      </c>
      <c r="Z465" s="138" t="s">
        <v>848</v>
      </c>
      <c r="AA465" s="138">
        <v>45120</v>
      </c>
      <c r="AB465" s="9" t="s">
        <v>114</v>
      </c>
      <c r="AC465" s="9" t="s">
        <v>124</v>
      </c>
      <c r="AD465" s="15">
        <v>45382</v>
      </c>
      <c r="AE465" s="39" t="s">
        <v>125</v>
      </c>
      <c r="AF465" s="177">
        <v>5</v>
      </c>
      <c r="AG465" s="140">
        <v>0</v>
      </c>
      <c r="AH465" s="9">
        <v>0</v>
      </c>
      <c r="AI465" s="10" t="s">
        <v>126</v>
      </c>
      <c r="AJ465" s="10"/>
      <c r="AK465" s="29"/>
      <c r="AL465" s="12">
        <v>3.2821917808219174</v>
      </c>
      <c r="AM465" s="10">
        <v>0</v>
      </c>
      <c r="AN465" s="12">
        <f>FAR[[#This Row],[Opening RUL]]+FAR[[#This Row],[RUL Adjustment]]</f>
        <v>3.2821917808219174</v>
      </c>
      <c r="AO465" s="12">
        <f>FAR[[#This Row],[Opening RUL 30 June 2026]]-1</f>
        <v>2.2821917808219174</v>
      </c>
      <c r="AP465" s="12">
        <v>0</v>
      </c>
      <c r="AQ465" s="139"/>
      <c r="AR465" s="10" t="s">
        <v>127</v>
      </c>
      <c r="AS465" s="13">
        <v>42973.2</v>
      </c>
      <c r="AT465" s="13"/>
      <c r="AU465" s="13"/>
      <c r="AV465" s="13"/>
      <c r="AW465" s="13"/>
      <c r="AX465" s="13">
        <v>42973.2</v>
      </c>
      <c r="AY465" s="13">
        <v>28209.256767123286</v>
      </c>
      <c r="AZ465" s="13">
        <v>0</v>
      </c>
      <c r="BA465" s="13"/>
      <c r="BB465" s="13"/>
      <c r="BC465" s="13">
        <v>-14763.943232876711</v>
      </c>
      <c r="BD465" s="13"/>
      <c r="BE465" s="13" t="s">
        <v>114</v>
      </c>
      <c r="BF465" s="29"/>
      <c r="BG465" s="13"/>
      <c r="BH465" s="13">
        <f>-FAR[[#This Row],[Carrying value (opening balance)]]/FAR[[#This Row],[Opening RUL 30 June 2026]]</f>
        <v>-8594.6400000000012</v>
      </c>
      <c r="BI465" s="13">
        <f>FAR[[#This Row],[Depreciation YTD]]/12</f>
        <v>-716.22000000000014</v>
      </c>
      <c r="BJ465" s="13"/>
      <c r="BK465" s="13" t="s">
        <v>116</v>
      </c>
      <c r="BL465" s="13">
        <v>0</v>
      </c>
      <c r="BM465" s="13">
        <f>FAR[[#This Row],[Accumulated depreciation (Opening balance)]]+FAR[[#This Row],[Depreciation YTD]]+FAR[[#This Row],[Derecognitions (acc dep) '[+']]]</f>
        <v>-23358.583232876714</v>
      </c>
      <c r="BN465" s="13"/>
      <c r="BO465" s="13"/>
      <c r="BP465" s="13"/>
      <c r="BQ465" s="13"/>
      <c r="BR46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65" s="13">
        <f>FAR[[#This Row],[Cost Price (closing balance)]]+FAR[[#This Row],[Accumulated depreciation (Closing balance)]]+FAR[[#This Row],[Accumulated impairments (Closing balance)]]</f>
        <v>19614.616767123283</v>
      </c>
      <c r="BT465" s="13">
        <f>FAR[[#This Row],[Accumulated depreciation (Opening balance)]]</f>
        <v>-14763.943232876711</v>
      </c>
      <c r="BU465" s="13"/>
      <c r="BV465" s="13"/>
      <c r="BW465" s="10"/>
      <c r="BX465" s="9"/>
      <c r="BY465" s="10"/>
      <c r="BZ465">
        <v>0</v>
      </c>
      <c r="CA465"/>
      <c r="CB465" s="34"/>
      <c r="CC465" s="34"/>
      <c r="CD465" s="34"/>
      <c r="CE465" s="141">
        <f>FAR[[#This Row],[Additions capitalised (@actual cost)]]/FAR[[#This Row],[EUL]]</f>
        <v>0</v>
      </c>
    </row>
    <row r="466" spans="1:83">
      <c r="A466" s="35">
        <v>1764</v>
      </c>
      <c r="B466" s="9" t="str">
        <f>VLOOKUP(FAR[[#This Row],[Component ID/ Bar code]],[3]nhc!$I$1:$P$686,8,0)</f>
        <v xml:space="preserve">Open plan Risk </v>
      </c>
      <c r="C466" s="9" t="s">
        <v>54</v>
      </c>
      <c r="D466" s="10" t="s">
        <v>1</v>
      </c>
      <c r="E466" s="9" t="s">
        <v>115</v>
      </c>
      <c r="F466" s="36" t="s">
        <v>99</v>
      </c>
      <c r="G466" s="9" t="s">
        <v>100</v>
      </c>
      <c r="H466" s="3" t="s">
        <v>103</v>
      </c>
      <c r="I466" s="9" t="s">
        <v>100</v>
      </c>
      <c r="J466" s="36" t="s">
        <v>101</v>
      </c>
      <c r="K466" s="10" t="s">
        <v>559</v>
      </c>
      <c r="L466" s="10" t="s">
        <v>559</v>
      </c>
      <c r="M466" s="9" t="s">
        <v>100</v>
      </c>
      <c r="N466" s="10" t="s">
        <v>829</v>
      </c>
      <c r="O466" s="9" t="s">
        <v>100</v>
      </c>
      <c r="P466" s="10"/>
      <c r="Q466" s="10" t="s">
        <v>829</v>
      </c>
      <c r="R466" s="10" t="s">
        <v>119</v>
      </c>
      <c r="S466" s="10" t="s">
        <v>130</v>
      </c>
      <c r="T466" s="10" t="s">
        <v>120</v>
      </c>
      <c r="U466" s="10" t="s">
        <v>101</v>
      </c>
      <c r="V466" s="10" t="s">
        <v>121</v>
      </c>
      <c r="W466" s="10" t="s">
        <v>122</v>
      </c>
      <c r="X466" s="10" t="s">
        <v>123</v>
      </c>
      <c r="Y466" s="29">
        <v>1</v>
      </c>
      <c r="Z466" s="138" t="s">
        <v>848</v>
      </c>
      <c r="AA466" s="138">
        <v>45120</v>
      </c>
      <c r="AB466" s="9" t="s">
        <v>114</v>
      </c>
      <c r="AC466" s="9" t="s">
        <v>124</v>
      </c>
      <c r="AD466" s="15">
        <v>45382</v>
      </c>
      <c r="AE466" s="39" t="s">
        <v>125</v>
      </c>
      <c r="AF466" s="177">
        <v>5</v>
      </c>
      <c r="AG466" s="140">
        <v>0</v>
      </c>
      <c r="AH466" s="9">
        <v>0</v>
      </c>
      <c r="AI466" s="10" t="s">
        <v>126</v>
      </c>
      <c r="AJ466" s="10"/>
      <c r="AK466" s="29"/>
      <c r="AL466" s="12">
        <v>3.2821917808219174</v>
      </c>
      <c r="AM466" s="10">
        <v>0</v>
      </c>
      <c r="AN466" s="12">
        <f>FAR[[#This Row],[Opening RUL]]+FAR[[#This Row],[RUL Adjustment]]</f>
        <v>3.2821917808219174</v>
      </c>
      <c r="AO466" s="12">
        <f>FAR[[#This Row],[Opening RUL 30 June 2026]]-1</f>
        <v>2.2821917808219174</v>
      </c>
      <c r="AP466" s="12" t="s">
        <v>1050</v>
      </c>
      <c r="AQ466" s="139"/>
      <c r="AR466" s="10" t="s">
        <v>127</v>
      </c>
      <c r="AS466" s="13">
        <v>42973.2</v>
      </c>
      <c r="AT466" s="13"/>
      <c r="AU466" s="13"/>
      <c r="AV466" s="13"/>
      <c r="AW466" s="13"/>
      <c r="AX466" s="13">
        <v>42973.2</v>
      </c>
      <c r="AY466" s="13">
        <v>28209.256767123286</v>
      </c>
      <c r="AZ466" s="13">
        <v>0</v>
      </c>
      <c r="BA466" s="13"/>
      <c r="BB466" s="13"/>
      <c r="BC466" s="13">
        <v>-14763.943232876711</v>
      </c>
      <c r="BD466" s="13"/>
      <c r="BE466" s="13" t="s">
        <v>114</v>
      </c>
      <c r="BF466" s="29"/>
      <c r="BG466" s="13"/>
      <c r="BH466" s="13">
        <f>-FAR[[#This Row],[Carrying value (opening balance)]]/FAR[[#This Row],[Opening RUL 30 June 2026]]</f>
        <v>-8594.6400000000012</v>
      </c>
      <c r="BI466" s="13">
        <f>FAR[[#This Row],[Depreciation YTD]]/12</f>
        <v>-716.22000000000014</v>
      </c>
      <c r="BJ466" s="13"/>
      <c r="BK466" s="13" t="s">
        <v>116</v>
      </c>
      <c r="BL466" s="13">
        <v>0</v>
      </c>
      <c r="BM466" s="13">
        <f>FAR[[#This Row],[Accumulated depreciation (Opening balance)]]+FAR[[#This Row],[Depreciation YTD]]+FAR[[#This Row],[Derecognitions (acc dep) '[+']]]</f>
        <v>-23358.583232876714</v>
      </c>
      <c r="BN466" s="13"/>
      <c r="BO466" s="13"/>
      <c r="BP466" s="13"/>
      <c r="BQ466" s="13"/>
      <c r="BR46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66" s="13">
        <f>FAR[[#This Row],[Cost Price (closing balance)]]+FAR[[#This Row],[Accumulated depreciation (Closing balance)]]+FAR[[#This Row],[Accumulated impairments (Closing balance)]]</f>
        <v>19614.616767123283</v>
      </c>
      <c r="BT466" s="13">
        <f>FAR[[#This Row],[Accumulated depreciation (Opening balance)]]</f>
        <v>-14763.943232876711</v>
      </c>
      <c r="BU466" s="13"/>
      <c r="BV466" s="13"/>
      <c r="BW466" s="10"/>
      <c r="BX466" s="9"/>
      <c r="BY466" s="10"/>
      <c r="BZ466" t="s">
        <v>992</v>
      </c>
      <c r="CA466"/>
      <c r="CB466" s="34"/>
      <c r="CC466" s="34"/>
      <c r="CD466" s="34"/>
      <c r="CE466" s="141">
        <f>FAR[[#This Row],[Additions capitalised (@actual cost)]]/FAR[[#This Row],[EUL]]</f>
        <v>0</v>
      </c>
    </row>
    <row r="467" spans="1:83">
      <c r="A467" s="35">
        <v>1789</v>
      </c>
      <c r="B467" s="9" t="str">
        <f>VLOOKUP(FAR[[#This Row],[Component ID/ Bar code]],[3]nhc!$I$1:$P$686,8,0)</f>
        <v>R18</v>
      </c>
      <c r="C467" s="9" t="s">
        <v>54</v>
      </c>
      <c r="D467" s="10" t="s">
        <v>1</v>
      </c>
      <c r="E467" s="9" t="s">
        <v>115</v>
      </c>
      <c r="F467" s="36" t="s">
        <v>99</v>
      </c>
      <c r="G467" s="9" t="s">
        <v>100</v>
      </c>
      <c r="H467" s="3" t="s">
        <v>103</v>
      </c>
      <c r="I467" s="9" t="s">
        <v>100</v>
      </c>
      <c r="J467" s="36" t="s">
        <v>101</v>
      </c>
      <c r="K467" s="10" t="s">
        <v>559</v>
      </c>
      <c r="L467" s="10" t="s">
        <v>559</v>
      </c>
      <c r="M467" s="9" t="s">
        <v>100</v>
      </c>
      <c r="N467" s="10" t="s">
        <v>830</v>
      </c>
      <c r="O467" s="9" t="s">
        <v>100</v>
      </c>
      <c r="P467" s="10"/>
      <c r="Q467" s="10" t="s">
        <v>830</v>
      </c>
      <c r="R467" s="10" t="s">
        <v>119</v>
      </c>
      <c r="S467" s="10" t="s">
        <v>130</v>
      </c>
      <c r="T467" s="10" t="s">
        <v>120</v>
      </c>
      <c r="U467" s="10" t="s">
        <v>101</v>
      </c>
      <c r="V467" s="10" t="s">
        <v>121</v>
      </c>
      <c r="W467" s="10" t="s">
        <v>122</v>
      </c>
      <c r="X467" s="10" t="s">
        <v>123</v>
      </c>
      <c r="Y467" s="29">
        <v>1</v>
      </c>
      <c r="Z467" s="138" t="s">
        <v>848</v>
      </c>
      <c r="AA467" s="138">
        <v>45120</v>
      </c>
      <c r="AB467" s="9" t="s">
        <v>114</v>
      </c>
      <c r="AC467" s="9" t="s">
        <v>124</v>
      </c>
      <c r="AD467" s="15">
        <v>45382</v>
      </c>
      <c r="AE467" s="39" t="s">
        <v>125</v>
      </c>
      <c r="AF467" s="177">
        <v>5</v>
      </c>
      <c r="AG467" s="140">
        <v>0</v>
      </c>
      <c r="AH467" s="9">
        <v>0</v>
      </c>
      <c r="AI467" s="10" t="s">
        <v>126</v>
      </c>
      <c r="AJ467" s="10"/>
      <c r="AK467" s="29"/>
      <c r="AL467" s="12">
        <v>3.2821917808219174</v>
      </c>
      <c r="AM467" s="10">
        <v>0</v>
      </c>
      <c r="AN467" s="12">
        <f>FAR[[#This Row],[Opening RUL]]+FAR[[#This Row],[RUL Adjustment]]</f>
        <v>3.2821917808219174</v>
      </c>
      <c r="AO467" s="12">
        <f>FAR[[#This Row],[Opening RUL 30 June 2026]]-1</f>
        <v>2.2821917808219174</v>
      </c>
      <c r="AP467" s="12" t="s">
        <v>1050</v>
      </c>
      <c r="AQ467" s="139"/>
      <c r="AR467" s="10" t="s">
        <v>127</v>
      </c>
      <c r="AS467" s="13">
        <v>42973.2</v>
      </c>
      <c r="AT467" s="13"/>
      <c r="AU467" s="13"/>
      <c r="AV467" s="13"/>
      <c r="AW467" s="13"/>
      <c r="AX467" s="13">
        <v>42973.2</v>
      </c>
      <c r="AY467" s="13">
        <v>28209.256767123286</v>
      </c>
      <c r="AZ467" s="13">
        <v>0</v>
      </c>
      <c r="BA467" s="13"/>
      <c r="BB467" s="13"/>
      <c r="BC467" s="13">
        <v>-14763.943232876711</v>
      </c>
      <c r="BD467" s="13"/>
      <c r="BE467" s="13" t="s">
        <v>114</v>
      </c>
      <c r="BF467" s="29"/>
      <c r="BG467" s="13"/>
      <c r="BH467" s="13">
        <f>-FAR[[#This Row],[Carrying value (opening balance)]]/FAR[[#This Row],[Opening RUL 30 June 2026]]</f>
        <v>-8594.6400000000012</v>
      </c>
      <c r="BI467" s="13">
        <f>FAR[[#This Row],[Depreciation YTD]]/12</f>
        <v>-716.22000000000014</v>
      </c>
      <c r="BJ467" s="13"/>
      <c r="BK467" s="13" t="s">
        <v>116</v>
      </c>
      <c r="BL467" s="13">
        <v>0</v>
      </c>
      <c r="BM467" s="13">
        <f>FAR[[#This Row],[Accumulated depreciation (Opening balance)]]+FAR[[#This Row],[Depreciation YTD]]+FAR[[#This Row],[Derecognitions (acc dep) '[+']]]</f>
        <v>-23358.583232876714</v>
      </c>
      <c r="BN467" s="13"/>
      <c r="BO467" s="13"/>
      <c r="BP467" s="13"/>
      <c r="BQ467" s="13"/>
      <c r="BR46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67" s="13">
        <f>FAR[[#This Row],[Cost Price (closing balance)]]+FAR[[#This Row],[Accumulated depreciation (Closing balance)]]+FAR[[#This Row],[Accumulated impairments (Closing balance)]]</f>
        <v>19614.616767123283</v>
      </c>
      <c r="BT467" s="13">
        <f>FAR[[#This Row],[Accumulated depreciation (Opening balance)]]</f>
        <v>-14763.943232876711</v>
      </c>
      <c r="BU467" s="13"/>
      <c r="BV467" s="13"/>
      <c r="BW467" s="10"/>
      <c r="BX467" s="9"/>
      <c r="BY467" s="10"/>
      <c r="BZ467" t="s">
        <v>953</v>
      </c>
      <c r="CA467"/>
      <c r="CB467" s="34"/>
      <c r="CC467" s="34"/>
      <c r="CD467" s="34"/>
      <c r="CE467" s="141">
        <f>FAR[[#This Row],[Additions capitalised (@actual cost)]]/FAR[[#This Row],[EUL]]</f>
        <v>0</v>
      </c>
    </row>
    <row r="468" spans="1:83">
      <c r="A468" s="35">
        <v>1790</v>
      </c>
      <c r="B468" s="9" t="e">
        <f>VLOOKUP(FAR[[#This Row],[Component ID/ Bar code]],[3]nhc!$I$1:$P$686,8,0)</f>
        <v>#REF!</v>
      </c>
      <c r="C468" s="9" t="s">
        <v>54</v>
      </c>
      <c r="D468" s="10" t="s">
        <v>1</v>
      </c>
      <c r="E468" s="9" t="s">
        <v>115</v>
      </c>
      <c r="F468" s="36" t="s">
        <v>99</v>
      </c>
      <c r="G468" s="9" t="s">
        <v>100</v>
      </c>
      <c r="H468" s="3" t="s">
        <v>103</v>
      </c>
      <c r="I468" s="9" t="s">
        <v>100</v>
      </c>
      <c r="J468" s="36" t="s">
        <v>101</v>
      </c>
      <c r="K468" s="10" t="s">
        <v>559</v>
      </c>
      <c r="L468" s="10" t="s">
        <v>559</v>
      </c>
      <c r="M468" s="9" t="s">
        <v>100</v>
      </c>
      <c r="N468" s="10" t="s">
        <v>831</v>
      </c>
      <c r="O468" s="9" t="s">
        <v>100</v>
      </c>
      <c r="P468" s="10"/>
      <c r="Q468" s="10" t="s">
        <v>831</v>
      </c>
      <c r="R468" s="10" t="s">
        <v>119</v>
      </c>
      <c r="S468" s="10" t="s">
        <v>130</v>
      </c>
      <c r="T468" s="10" t="s">
        <v>120</v>
      </c>
      <c r="U468" s="10" t="s">
        <v>101</v>
      </c>
      <c r="V468" s="10" t="s">
        <v>121</v>
      </c>
      <c r="W468" s="10" t="s">
        <v>122</v>
      </c>
      <c r="X468" s="10" t="s">
        <v>123</v>
      </c>
      <c r="Y468" s="29">
        <v>1</v>
      </c>
      <c r="Z468" s="138" t="s">
        <v>848</v>
      </c>
      <c r="AA468" s="138">
        <v>45120</v>
      </c>
      <c r="AB468" s="9" t="s">
        <v>114</v>
      </c>
      <c r="AC468" s="9" t="s">
        <v>124</v>
      </c>
      <c r="AD468" s="15">
        <v>45382</v>
      </c>
      <c r="AE468" s="39" t="s">
        <v>125</v>
      </c>
      <c r="AF468" s="177">
        <v>5</v>
      </c>
      <c r="AG468" s="140">
        <v>0</v>
      </c>
      <c r="AH468" s="9">
        <v>0</v>
      </c>
      <c r="AI468" s="10" t="s">
        <v>126</v>
      </c>
      <c r="AJ468" s="10"/>
      <c r="AK468" s="29"/>
      <c r="AL468" s="12">
        <v>3.2821917808219174</v>
      </c>
      <c r="AM468" s="10">
        <v>0</v>
      </c>
      <c r="AN468" s="12">
        <f>FAR[[#This Row],[Opening RUL]]+FAR[[#This Row],[RUL Adjustment]]</f>
        <v>3.2821917808219174</v>
      </c>
      <c r="AO468" s="12">
        <f>FAR[[#This Row],[Opening RUL 30 June 2026]]-1</f>
        <v>2.2821917808219174</v>
      </c>
      <c r="AP468" s="12">
        <v>0</v>
      </c>
      <c r="AQ468" s="139"/>
      <c r="AR468" s="10" t="s">
        <v>127</v>
      </c>
      <c r="AS468" s="13">
        <v>42973.2</v>
      </c>
      <c r="AT468" s="13"/>
      <c r="AU468" s="13"/>
      <c r="AV468" s="13"/>
      <c r="AW468" s="13"/>
      <c r="AX468" s="13">
        <v>42973.2</v>
      </c>
      <c r="AY468" s="13">
        <v>28209.256767123286</v>
      </c>
      <c r="AZ468" s="13">
        <v>0</v>
      </c>
      <c r="BA468" s="13"/>
      <c r="BB468" s="13"/>
      <c r="BC468" s="13">
        <v>-14763.943232876711</v>
      </c>
      <c r="BD468" s="13"/>
      <c r="BE468" s="13" t="s">
        <v>114</v>
      </c>
      <c r="BF468" s="29"/>
      <c r="BG468" s="13"/>
      <c r="BH468" s="13">
        <f>-FAR[[#This Row],[Carrying value (opening balance)]]/FAR[[#This Row],[Opening RUL 30 June 2026]]</f>
        <v>-8594.6400000000012</v>
      </c>
      <c r="BI468" s="13">
        <f>FAR[[#This Row],[Depreciation YTD]]/12</f>
        <v>-716.22000000000014</v>
      </c>
      <c r="BJ468" s="13"/>
      <c r="BK468" s="13" t="s">
        <v>116</v>
      </c>
      <c r="BL468" s="13">
        <v>0</v>
      </c>
      <c r="BM468" s="13">
        <f>FAR[[#This Row],[Accumulated depreciation (Opening balance)]]+FAR[[#This Row],[Depreciation YTD]]+FAR[[#This Row],[Derecognitions (acc dep) '[+']]]</f>
        <v>-23358.583232876714</v>
      </c>
      <c r="BN468" s="13"/>
      <c r="BO468" s="13"/>
      <c r="BP468" s="13"/>
      <c r="BQ468" s="13"/>
      <c r="BR46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68" s="13">
        <f>FAR[[#This Row],[Cost Price (closing balance)]]+FAR[[#This Row],[Accumulated depreciation (Closing balance)]]+FAR[[#This Row],[Accumulated impairments (Closing balance)]]</f>
        <v>19614.616767123283</v>
      </c>
      <c r="BT468" s="13">
        <f>FAR[[#This Row],[Accumulated depreciation (Opening balance)]]</f>
        <v>-14763.943232876711</v>
      </c>
      <c r="BU468" s="13"/>
      <c r="BV468" s="13"/>
      <c r="BW468" s="10"/>
      <c r="BX468" s="9"/>
      <c r="BY468" s="10"/>
      <c r="BZ468">
        <v>0</v>
      </c>
      <c r="CA468"/>
      <c r="CB468" s="34"/>
      <c r="CC468" s="34"/>
      <c r="CD468" s="34"/>
      <c r="CE468" s="141">
        <f>FAR[[#This Row],[Additions capitalised (@actual cost)]]/FAR[[#This Row],[EUL]]</f>
        <v>0</v>
      </c>
    </row>
    <row r="469" spans="1:83">
      <c r="A469" s="35">
        <v>1792</v>
      </c>
      <c r="B469" s="9" t="e">
        <f>VLOOKUP(FAR[[#This Row],[Component ID/ Bar code]],[3]nhc!$I$1:$P$686,8,0)</f>
        <v>#REF!</v>
      </c>
      <c r="C469" s="9" t="s">
        <v>54</v>
      </c>
      <c r="D469" s="10" t="s">
        <v>1</v>
      </c>
      <c r="E469" s="9" t="s">
        <v>115</v>
      </c>
      <c r="F469" s="36" t="s">
        <v>99</v>
      </c>
      <c r="G469" s="9" t="s">
        <v>100</v>
      </c>
      <c r="H469" s="3" t="s">
        <v>103</v>
      </c>
      <c r="I469" s="9" t="s">
        <v>100</v>
      </c>
      <c r="J469" s="36" t="s">
        <v>101</v>
      </c>
      <c r="K469" s="10" t="s">
        <v>559</v>
      </c>
      <c r="L469" s="10" t="s">
        <v>559</v>
      </c>
      <c r="M469" s="9" t="s">
        <v>100</v>
      </c>
      <c r="N469" s="10" t="s">
        <v>832</v>
      </c>
      <c r="O469" s="9" t="s">
        <v>100</v>
      </c>
      <c r="P469" s="10"/>
      <c r="Q469" s="10" t="s">
        <v>832</v>
      </c>
      <c r="R469" s="10" t="s">
        <v>119</v>
      </c>
      <c r="S469" s="10" t="s">
        <v>130</v>
      </c>
      <c r="T469" s="10" t="s">
        <v>120</v>
      </c>
      <c r="U469" s="10" t="s">
        <v>101</v>
      </c>
      <c r="V469" s="10" t="s">
        <v>121</v>
      </c>
      <c r="W469" s="10" t="s">
        <v>122</v>
      </c>
      <c r="X469" s="10" t="s">
        <v>123</v>
      </c>
      <c r="Y469" s="29">
        <v>1</v>
      </c>
      <c r="Z469" s="138" t="s">
        <v>848</v>
      </c>
      <c r="AA469" s="138">
        <v>45120</v>
      </c>
      <c r="AB469" s="9" t="s">
        <v>114</v>
      </c>
      <c r="AC469" s="9" t="s">
        <v>124</v>
      </c>
      <c r="AD469" s="15">
        <v>45382</v>
      </c>
      <c r="AE469" s="39" t="s">
        <v>125</v>
      </c>
      <c r="AF469" s="177">
        <v>5</v>
      </c>
      <c r="AG469" s="140">
        <v>0</v>
      </c>
      <c r="AH469" s="9">
        <v>0</v>
      </c>
      <c r="AI469" s="10" t="s">
        <v>126</v>
      </c>
      <c r="AJ469" s="10"/>
      <c r="AK469" s="29"/>
      <c r="AL469" s="12">
        <v>3.2821917808219174</v>
      </c>
      <c r="AM469" s="10">
        <v>0</v>
      </c>
      <c r="AN469" s="12">
        <f>FAR[[#This Row],[Opening RUL]]+FAR[[#This Row],[RUL Adjustment]]</f>
        <v>3.2821917808219174</v>
      </c>
      <c r="AO469" s="12">
        <f>FAR[[#This Row],[Opening RUL 30 June 2026]]-1</f>
        <v>2.2821917808219174</v>
      </c>
      <c r="AP469" s="12">
        <v>0</v>
      </c>
      <c r="AQ469" s="139"/>
      <c r="AR469" s="10" t="s">
        <v>127</v>
      </c>
      <c r="AS469" s="13">
        <v>42973.2</v>
      </c>
      <c r="AT469" s="13"/>
      <c r="AU469" s="13"/>
      <c r="AV469" s="13"/>
      <c r="AW469" s="13"/>
      <c r="AX469" s="13">
        <v>42973.2</v>
      </c>
      <c r="AY469" s="13">
        <v>28209.256767123286</v>
      </c>
      <c r="AZ469" s="13">
        <v>0</v>
      </c>
      <c r="BA469" s="13"/>
      <c r="BB469" s="13"/>
      <c r="BC469" s="13">
        <v>-14763.943232876711</v>
      </c>
      <c r="BD469" s="13"/>
      <c r="BE469" s="13" t="s">
        <v>114</v>
      </c>
      <c r="BF469" s="29"/>
      <c r="BG469" s="13"/>
      <c r="BH469" s="13">
        <f>-FAR[[#This Row],[Carrying value (opening balance)]]/FAR[[#This Row],[Opening RUL 30 June 2026]]</f>
        <v>-8594.6400000000012</v>
      </c>
      <c r="BI469" s="13">
        <f>FAR[[#This Row],[Depreciation YTD]]/12</f>
        <v>-716.22000000000014</v>
      </c>
      <c r="BJ469" s="13"/>
      <c r="BK469" s="13" t="s">
        <v>116</v>
      </c>
      <c r="BL469" s="13">
        <v>0</v>
      </c>
      <c r="BM469" s="13">
        <f>FAR[[#This Row],[Accumulated depreciation (Opening balance)]]+FAR[[#This Row],[Depreciation YTD]]+FAR[[#This Row],[Derecognitions (acc dep) '[+']]]</f>
        <v>-23358.583232876714</v>
      </c>
      <c r="BN469" s="13"/>
      <c r="BO469" s="13"/>
      <c r="BP469" s="13"/>
      <c r="BQ469" s="13"/>
      <c r="BR46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69" s="13">
        <f>FAR[[#This Row],[Cost Price (closing balance)]]+FAR[[#This Row],[Accumulated depreciation (Closing balance)]]+FAR[[#This Row],[Accumulated impairments (Closing balance)]]</f>
        <v>19614.616767123283</v>
      </c>
      <c r="BT469" s="13">
        <f>FAR[[#This Row],[Accumulated depreciation (Opening balance)]]</f>
        <v>-14763.943232876711</v>
      </c>
      <c r="BU469" s="13"/>
      <c r="BV469" s="13"/>
      <c r="BW469" s="10"/>
      <c r="BX469" s="9"/>
      <c r="BY469" s="10"/>
      <c r="BZ469">
        <v>0</v>
      </c>
      <c r="CA469"/>
      <c r="CB469" s="34"/>
      <c r="CC469" s="34"/>
      <c r="CD469" s="34"/>
      <c r="CE469" s="141">
        <f>FAR[[#This Row],[Additions capitalised (@actual cost)]]/FAR[[#This Row],[EUL]]</f>
        <v>0</v>
      </c>
    </row>
    <row r="470" spans="1:83">
      <c r="A470" s="35">
        <v>1795</v>
      </c>
      <c r="B470" s="9" t="str">
        <f>VLOOKUP(FAR[[#This Row],[Component ID/ Bar code]],[3]nhc!$I$1:$P$686,8,0)</f>
        <v xml:space="preserve">Councilor </v>
      </c>
      <c r="C470" s="9" t="s">
        <v>54</v>
      </c>
      <c r="D470" s="10" t="s">
        <v>1</v>
      </c>
      <c r="E470" s="9" t="s">
        <v>115</v>
      </c>
      <c r="F470" s="36" t="s">
        <v>99</v>
      </c>
      <c r="G470" s="9" t="s">
        <v>100</v>
      </c>
      <c r="H470" s="3" t="s">
        <v>103</v>
      </c>
      <c r="I470" s="9" t="s">
        <v>100</v>
      </c>
      <c r="J470" s="36" t="s">
        <v>101</v>
      </c>
      <c r="K470" s="10" t="s">
        <v>559</v>
      </c>
      <c r="L470" s="10" t="s">
        <v>559</v>
      </c>
      <c r="M470" s="9" t="s">
        <v>100</v>
      </c>
      <c r="N470" s="10" t="s">
        <v>833</v>
      </c>
      <c r="O470" s="9" t="s">
        <v>100</v>
      </c>
      <c r="P470" s="10"/>
      <c r="Q470" s="10" t="s">
        <v>833</v>
      </c>
      <c r="R470" s="10" t="s">
        <v>119</v>
      </c>
      <c r="S470" s="10" t="s">
        <v>130</v>
      </c>
      <c r="T470" s="10" t="s">
        <v>120</v>
      </c>
      <c r="U470" s="10" t="s">
        <v>101</v>
      </c>
      <c r="V470" s="10" t="s">
        <v>121</v>
      </c>
      <c r="W470" s="10" t="s">
        <v>122</v>
      </c>
      <c r="X470" s="10" t="s">
        <v>123</v>
      </c>
      <c r="Y470" s="29">
        <v>1</v>
      </c>
      <c r="Z470" s="138" t="s">
        <v>848</v>
      </c>
      <c r="AA470" s="138">
        <v>45120</v>
      </c>
      <c r="AB470" s="9" t="s">
        <v>114</v>
      </c>
      <c r="AC470" s="9" t="s">
        <v>124</v>
      </c>
      <c r="AD470" s="15">
        <v>45382</v>
      </c>
      <c r="AE470" s="39" t="s">
        <v>125</v>
      </c>
      <c r="AF470" s="177">
        <v>5</v>
      </c>
      <c r="AG470" s="140">
        <v>0</v>
      </c>
      <c r="AH470" s="9">
        <v>0</v>
      </c>
      <c r="AI470" s="10" t="s">
        <v>126</v>
      </c>
      <c r="AJ470" s="10"/>
      <c r="AK470" s="29"/>
      <c r="AL470" s="12">
        <v>3.2821917808219174</v>
      </c>
      <c r="AM470" s="10">
        <v>0</v>
      </c>
      <c r="AN470" s="12">
        <f>FAR[[#This Row],[Opening RUL]]+FAR[[#This Row],[RUL Adjustment]]</f>
        <v>3.2821917808219174</v>
      </c>
      <c r="AO470" s="12">
        <f>FAR[[#This Row],[Opening RUL 30 June 2026]]-1</f>
        <v>2.2821917808219174</v>
      </c>
      <c r="AP470" s="12" t="s">
        <v>1050</v>
      </c>
      <c r="AQ470" s="139"/>
      <c r="AR470" s="10" t="s">
        <v>127</v>
      </c>
      <c r="AS470" s="13">
        <v>42973.2</v>
      </c>
      <c r="AT470" s="13"/>
      <c r="AU470" s="13"/>
      <c r="AV470" s="13"/>
      <c r="AW470" s="13"/>
      <c r="AX470" s="13">
        <v>42973.2</v>
      </c>
      <c r="AY470" s="13">
        <v>28209.256767123286</v>
      </c>
      <c r="AZ470" s="13">
        <v>0</v>
      </c>
      <c r="BA470" s="13"/>
      <c r="BB470" s="13"/>
      <c r="BC470" s="13">
        <v>-14763.943232876711</v>
      </c>
      <c r="BD470" s="13"/>
      <c r="BE470" s="13" t="s">
        <v>114</v>
      </c>
      <c r="BF470" s="29"/>
      <c r="BG470" s="13"/>
      <c r="BH470" s="13">
        <f>-FAR[[#This Row],[Carrying value (opening balance)]]/FAR[[#This Row],[Opening RUL 30 June 2026]]</f>
        <v>-8594.6400000000012</v>
      </c>
      <c r="BI470" s="13">
        <f>FAR[[#This Row],[Depreciation YTD]]/12</f>
        <v>-716.22000000000014</v>
      </c>
      <c r="BJ470" s="13"/>
      <c r="BK470" s="13" t="s">
        <v>116</v>
      </c>
      <c r="BL470" s="13">
        <v>0</v>
      </c>
      <c r="BM470" s="13">
        <f>FAR[[#This Row],[Accumulated depreciation (Opening balance)]]+FAR[[#This Row],[Depreciation YTD]]+FAR[[#This Row],[Derecognitions (acc dep) '[+']]]</f>
        <v>-23358.583232876714</v>
      </c>
      <c r="BN470" s="13"/>
      <c r="BO470" s="13"/>
      <c r="BP470" s="13"/>
      <c r="BQ470" s="13"/>
      <c r="BR47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70" s="13">
        <f>FAR[[#This Row],[Cost Price (closing balance)]]+FAR[[#This Row],[Accumulated depreciation (Closing balance)]]+FAR[[#This Row],[Accumulated impairments (Closing balance)]]</f>
        <v>19614.616767123283</v>
      </c>
      <c r="BT470" s="13">
        <f>FAR[[#This Row],[Accumulated depreciation (Opening balance)]]</f>
        <v>-14763.943232876711</v>
      </c>
      <c r="BU470" s="13"/>
      <c r="BV470" s="13"/>
      <c r="BW470" s="10"/>
      <c r="BX470" s="9"/>
      <c r="BY470" s="10"/>
      <c r="BZ470" t="s">
        <v>1045</v>
      </c>
      <c r="CA470"/>
      <c r="CB470" s="34"/>
      <c r="CC470" s="34"/>
      <c r="CD470" s="34"/>
      <c r="CE470" s="141">
        <f>FAR[[#This Row],[Additions capitalised (@actual cost)]]/FAR[[#This Row],[EUL]]</f>
        <v>0</v>
      </c>
    </row>
    <row r="471" spans="1:83">
      <c r="A471" s="35">
        <v>1943</v>
      </c>
      <c r="B471" s="9" t="str">
        <f>VLOOKUP(FAR[[#This Row],[Component ID/ Bar code]],[3]nhc!$I$1:$P$686,8,0)</f>
        <v>R13</v>
      </c>
      <c r="C471" s="9" t="s">
        <v>54</v>
      </c>
      <c r="D471" s="10" t="s">
        <v>1</v>
      </c>
      <c r="E471" s="9" t="s">
        <v>115</v>
      </c>
      <c r="F471" s="36" t="s">
        <v>99</v>
      </c>
      <c r="G471" s="9" t="s">
        <v>100</v>
      </c>
      <c r="H471" s="3" t="s">
        <v>103</v>
      </c>
      <c r="I471" s="9" t="s">
        <v>100</v>
      </c>
      <c r="J471" s="36" t="s">
        <v>101</v>
      </c>
      <c r="K471" s="10" t="s">
        <v>559</v>
      </c>
      <c r="L471" s="10" t="s">
        <v>559</v>
      </c>
      <c r="M471" s="9" t="s">
        <v>100</v>
      </c>
      <c r="N471" s="10" t="s">
        <v>834</v>
      </c>
      <c r="O471" s="9" t="s">
        <v>100</v>
      </c>
      <c r="P471" s="10"/>
      <c r="Q471" s="10" t="s">
        <v>834</v>
      </c>
      <c r="R471" s="10" t="s">
        <v>119</v>
      </c>
      <c r="S471" s="10" t="s">
        <v>130</v>
      </c>
      <c r="T471" s="10" t="s">
        <v>120</v>
      </c>
      <c r="U471" s="10" t="s">
        <v>101</v>
      </c>
      <c r="V471" s="10" t="s">
        <v>121</v>
      </c>
      <c r="W471" s="10" t="s">
        <v>122</v>
      </c>
      <c r="X471" s="10" t="s">
        <v>123</v>
      </c>
      <c r="Y471" s="29">
        <v>1</v>
      </c>
      <c r="Z471" s="138" t="s">
        <v>849</v>
      </c>
      <c r="AA471" s="138">
        <v>45379</v>
      </c>
      <c r="AB471" s="9" t="s">
        <v>114</v>
      </c>
      <c r="AC471" s="9" t="s">
        <v>124</v>
      </c>
      <c r="AD471" s="15">
        <v>45382</v>
      </c>
      <c r="AE471" s="39" t="s">
        <v>125</v>
      </c>
      <c r="AF471" s="177">
        <v>5</v>
      </c>
      <c r="AG471" s="140">
        <v>0</v>
      </c>
      <c r="AH471" s="9">
        <v>0</v>
      </c>
      <c r="AI471" s="10" t="s">
        <v>126</v>
      </c>
      <c r="AJ471" s="10"/>
      <c r="AK471" s="29"/>
      <c r="AL471" s="12">
        <v>3.9917808219178079</v>
      </c>
      <c r="AM471" s="10">
        <v>0</v>
      </c>
      <c r="AN471" s="12">
        <f>FAR[[#This Row],[Opening RUL]]+FAR[[#This Row],[RUL Adjustment]]</f>
        <v>3.9917808219178079</v>
      </c>
      <c r="AO471" s="12">
        <f>FAR[[#This Row],[Opening RUL 30 June 2026]]-1</f>
        <v>2.9917808219178079</v>
      </c>
      <c r="AP471" s="12" t="s">
        <v>1050</v>
      </c>
      <c r="AQ471" s="139"/>
      <c r="AR471" s="10" t="s">
        <v>127</v>
      </c>
      <c r="AS471" s="13">
        <v>23000</v>
      </c>
      <c r="AT471" s="13"/>
      <c r="AU471" s="13"/>
      <c r="AV471" s="13"/>
      <c r="AW471" s="13"/>
      <c r="AX471" s="13">
        <v>23000</v>
      </c>
      <c r="AY471" s="13">
        <v>18362.191780821919</v>
      </c>
      <c r="AZ471" s="13">
        <v>0</v>
      </c>
      <c r="BA471" s="13"/>
      <c r="BB471" s="13"/>
      <c r="BC471" s="13">
        <v>-4637.8082191780823</v>
      </c>
      <c r="BD471" s="13"/>
      <c r="BE471" s="13" t="s">
        <v>114</v>
      </c>
      <c r="BF471" s="29"/>
      <c r="BG471" s="13"/>
      <c r="BH471" s="13">
        <f>-FAR[[#This Row],[Carrying value (opening balance)]]/FAR[[#This Row],[Opening RUL 30 June 2026]]</f>
        <v>-4600.0000000000009</v>
      </c>
      <c r="BI471" s="13">
        <f>FAR[[#This Row],[Depreciation YTD]]/12</f>
        <v>-383.33333333333343</v>
      </c>
      <c r="BJ471" s="13"/>
      <c r="BK471" s="13" t="s">
        <v>116</v>
      </c>
      <c r="BL471" s="13">
        <v>0</v>
      </c>
      <c r="BM471" s="13">
        <f>FAR[[#This Row],[Accumulated depreciation (Opening balance)]]+FAR[[#This Row],[Depreciation YTD]]+FAR[[#This Row],[Derecognitions (acc dep) '[+']]]</f>
        <v>-9237.8082191780832</v>
      </c>
      <c r="BN471" s="13"/>
      <c r="BO471" s="13"/>
      <c r="BP471" s="13"/>
      <c r="BQ471" s="13"/>
      <c r="BR47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71" s="13">
        <f>FAR[[#This Row],[Cost Price (closing balance)]]+FAR[[#This Row],[Accumulated depreciation (Closing balance)]]+FAR[[#This Row],[Accumulated impairments (Closing balance)]]</f>
        <v>13762.191780821917</v>
      </c>
      <c r="BT471" s="13">
        <f>FAR[[#This Row],[Accumulated depreciation (Opening balance)]]</f>
        <v>-4637.8082191780823</v>
      </c>
      <c r="BU471" s="13"/>
      <c r="BV471" s="13"/>
      <c r="BW471" s="10"/>
      <c r="BX471" s="9"/>
      <c r="BY471" s="10"/>
      <c r="BZ471" t="s">
        <v>1046</v>
      </c>
      <c r="CA471"/>
      <c r="CB471" s="34"/>
      <c r="CC471" s="34"/>
      <c r="CD471" s="34"/>
      <c r="CE471" s="141">
        <f>FAR[[#This Row],[Additions capitalised (@actual cost)]]/FAR[[#This Row],[EUL]]</f>
        <v>0</v>
      </c>
    </row>
    <row r="472" spans="1:83">
      <c r="A472" s="35">
        <v>1949</v>
      </c>
      <c r="B472" s="9" t="str">
        <f>VLOOKUP(FAR[[#This Row],[Component ID/ Bar code]],[3]nhc!$I$1:$P$686,8,0)</f>
        <v xml:space="preserve">Open plan co- business </v>
      </c>
      <c r="C472" s="9" t="s">
        <v>54</v>
      </c>
      <c r="D472" s="10" t="s">
        <v>1</v>
      </c>
      <c r="E472" s="9" t="s">
        <v>115</v>
      </c>
      <c r="F472" s="36" t="s">
        <v>99</v>
      </c>
      <c r="G472" s="9" t="s">
        <v>100</v>
      </c>
      <c r="H472" s="3" t="s">
        <v>103</v>
      </c>
      <c r="I472" s="9" t="s">
        <v>100</v>
      </c>
      <c r="J472" s="36" t="s">
        <v>101</v>
      </c>
      <c r="K472" s="10" t="s">
        <v>559</v>
      </c>
      <c r="L472" s="10" t="s">
        <v>559</v>
      </c>
      <c r="M472" s="9" t="s">
        <v>100</v>
      </c>
      <c r="N472" s="10" t="s">
        <v>835</v>
      </c>
      <c r="O472" s="9" t="s">
        <v>100</v>
      </c>
      <c r="P472" s="10"/>
      <c r="Q472" s="10" t="s">
        <v>835</v>
      </c>
      <c r="R472" s="10" t="s">
        <v>119</v>
      </c>
      <c r="S472" s="10" t="s">
        <v>130</v>
      </c>
      <c r="T472" s="10" t="s">
        <v>120</v>
      </c>
      <c r="U472" s="10" t="s">
        <v>101</v>
      </c>
      <c r="V472" s="10" t="s">
        <v>121</v>
      </c>
      <c r="W472" s="10" t="s">
        <v>122</v>
      </c>
      <c r="X472" s="10" t="s">
        <v>123</v>
      </c>
      <c r="Y472" s="29">
        <v>1</v>
      </c>
      <c r="Z472" s="138" t="s">
        <v>849</v>
      </c>
      <c r="AA472" s="138">
        <v>45379</v>
      </c>
      <c r="AB472" s="9" t="s">
        <v>114</v>
      </c>
      <c r="AC472" s="9" t="s">
        <v>124</v>
      </c>
      <c r="AD472" s="15">
        <v>45382</v>
      </c>
      <c r="AE472" s="39" t="s">
        <v>125</v>
      </c>
      <c r="AF472" s="177">
        <v>5</v>
      </c>
      <c r="AG472" s="140">
        <v>0</v>
      </c>
      <c r="AH472" s="9">
        <v>0</v>
      </c>
      <c r="AI472" s="10" t="s">
        <v>126</v>
      </c>
      <c r="AJ472" s="10"/>
      <c r="AK472" s="29"/>
      <c r="AL472" s="12">
        <v>3.9917808219178079</v>
      </c>
      <c r="AM472" s="10">
        <v>0</v>
      </c>
      <c r="AN472" s="12">
        <f>FAR[[#This Row],[Opening RUL]]+FAR[[#This Row],[RUL Adjustment]]</f>
        <v>3.9917808219178079</v>
      </c>
      <c r="AO472" s="12">
        <f>FAR[[#This Row],[Opening RUL 30 June 2026]]-1</f>
        <v>2.9917808219178079</v>
      </c>
      <c r="AP472" s="12" t="s">
        <v>1050</v>
      </c>
      <c r="AQ472" s="139"/>
      <c r="AR472" s="10" t="s">
        <v>127</v>
      </c>
      <c r="AS472" s="13">
        <v>23000</v>
      </c>
      <c r="AT472" s="13"/>
      <c r="AU472" s="13"/>
      <c r="AV472" s="13"/>
      <c r="AW472" s="13"/>
      <c r="AX472" s="13">
        <v>23000</v>
      </c>
      <c r="AY472" s="13">
        <v>18362.191780821919</v>
      </c>
      <c r="AZ472" s="13">
        <v>0</v>
      </c>
      <c r="BA472" s="13"/>
      <c r="BB472" s="13"/>
      <c r="BC472" s="13">
        <v>-4637.8082191780823</v>
      </c>
      <c r="BD472" s="13"/>
      <c r="BE472" s="13" t="s">
        <v>114</v>
      </c>
      <c r="BF472" s="29"/>
      <c r="BG472" s="13"/>
      <c r="BH472" s="13">
        <f>-FAR[[#This Row],[Carrying value (opening balance)]]/FAR[[#This Row],[Opening RUL 30 June 2026]]</f>
        <v>-4600.0000000000009</v>
      </c>
      <c r="BI472" s="13">
        <f>FAR[[#This Row],[Depreciation YTD]]/12</f>
        <v>-383.33333333333343</v>
      </c>
      <c r="BJ472" s="13"/>
      <c r="BK472" s="13" t="s">
        <v>116</v>
      </c>
      <c r="BL472" s="13">
        <v>0</v>
      </c>
      <c r="BM472" s="13">
        <f>FAR[[#This Row],[Accumulated depreciation (Opening balance)]]+FAR[[#This Row],[Depreciation YTD]]+FAR[[#This Row],[Derecognitions (acc dep) '[+']]]</f>
        <v>-9237.8082191780832</v>
      </c>
      <c r="BN472" s="13"/>
      <c r="BO472" s="13"/>
      <c r="BP472" s="13"/>
      <c r="BQ472" s="13"/>
      <c r="BR47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72" s="13">
        <f>FAR[[#This Row],[Cost Price (closing balance)]]+FAR[[#This Row],[Accumulated depreciation (Closing balance)]]+FAR[[#This Row],[Accumulated impairments (Closing balance)]]</f>
        <v>13762.191780821917</v>
      </c>
      <c r="BT472" s="13">
        <f>FAR[[#This Row],[Accumulated depreciation (Opening balance)]]</f>
        <v>-4637.8082191780823</v>
      </c>
      <c r="BU472" s="13"/>
      <c r="BV472" s="13"/>
      <c r="BW472" s="10"/>
      <c r="BX472" s="9"/>
      <c r="BY472" s="10"/>
      <c r="BZ472" t="s">
        <v>1028</v>
      </c>
      <c r="CA472"/>
      <c r="CB472" s="34"/>
      <c r="CC472" s="34"/>
      <c r="CD472" s="34"/>
      <c r="CE472" s="141">
        <f>FAR[[#This Row],[Additions capitalised (@actual cost)]]/FAR[[#This Row],[EUL]]</f>
        <v>0</v>
      </c>
    </row>
    <row r="473" spans="1:83">
      <c r="A473" s="35">
        <v>1951</v>
      </c>
      <c r="B473" s="9" t="str">
        <f>VLOOKUP(FAR[[#This Row],[Component ID/ Bar code]],[3]nhc!$I$1:$P$686,8,0)</f>
        <v>R13</v>
      </c>
      <c r="C473" s="9" t="s">
        <v>54</v>
      </c>
      <c r="D473" s="10" t="s">
        <v>1</v>
      </c>
      <c r="E473" s="9" t="s">
        <v>115</v>
      </c>
      <c r="F473" s="36" t="s">
        <v>99</v>
      </c>
      <c r="G473" s="9" t="s">
        <v>100</v>
      </c>
      <c r="H473" s="3" t="s">
        <v>103</v>
      </c>
      <c r="I473" s="9" t="s">
        <v>100</v>
      </c>
      <c r="J473" s="36" t="s">
        <v>101</v>
      </c>
      <c r="K473" s="10" t="s">
        <v>559</v>
      </c>
      <c r="L473" s="10" t="s">
        <v>559</v>
      </c>
      <c r="M473" s="9" t="s">
        <v>100</v>
      </c>
      <c r="N473" s="10" t="s">
        <v>1168</v>
      </c>
      <c r="O473" s="9" t="s">
        <v>100</v>
      </c>
      <c r="P473" s="10"/>
      <c r="Q473" s="10" t="s">
        <v>1168</v>
      </c>
      <c r="R473" s="10" t="s">
        <v>119</v>
      </c>
      <c r="S473" s="10" t="s">
        <v>130</v>
      </c>
      <c r="T473" s="10" t="s">
        <v>120</v>
      </c>
      <c r="U473" s="10" t="s">
        <v>101</v>
      </c>
      <c r="V473" s="10" t="s">
        <v>121</v>
      </c>
      <c r="W473" s="10" t="s">
        <v>122</v>
      </c>
      <c r="X473" s="10" t="s">
        <v>123</v>
      </c>
      <c r="Y473" s="29">
        <v>1</v>
      </c>
      <c r="Z473" s="138" t="s">
        <v>849</v>
      </c>
      <c r="AA473" s="138">
        <v>45379</v>
      </c>
      <c r="AB473" s="9" t="s">
        <v>114</v>
      </c>
      <c r="AC473" s="9" t="s">
        <v>124</v>
      </c>
      <c r="AD473" s="15">
        <v>45382</v>
      </c>
      <c r="AE473" s="39" t="s">
        <v>125</v>
      </c>
      <c r="AF473" s="177">
        <v>5</v>
      </c>
      <c r="AG473" s="140">
        <v>0</v>
      </c>
      <c r="AH473" s="9">
        <v>0</v>
      </c>
      <c r="AI473" s="10" t="s">
        <v>126</v>
      </c>
      <c r="AJ473" s="10"/>
      <c r="AK473" s="29"/>
      <c r="AL473" s="12">
        <v>3.9917808219178079</v>
      </c>
      <c r="AM473" s="10">
        <v>0</v>
      </c>
      <c r="AN473" s="12">
        <f>FAR[[#This Row],[Opening RUL]]+FAR[[#This Row],[RUL Adjustment]]</f>
        <v>3.9917808219178079</v>
      </c>
      <c r="AO473" s="12">
        <f>FAR[[#This Row],[Opening RUL 30 June 2026]]-1</f>
        <v>2.9917808219178079</v>
      </c>
      <c r="AP473" s="12" t="s">
        <v>1050</v>
      </c>
      <c r="AQ473" s="139"/>
      <c r="AR473" s="10" t="s">
        <v>127</v>
      </c>
      <c r="AS473" s="13">
        <v>23000</v>
      </c>
      <c r="AT473" s="13"/>
      <c r="AU473" s="13"/>
      <c r="AV473" s="13"/>
      <c r="AW473" s="13"/>
      <c r="AX473" s="13">
        <v>23000</v>
      </c>
      <c r="AY473" s="13">
        <v>18362.191780821919</v>
      </c>
      <c r="AZ473" s="13">
        <v>0</v>
      </c>
      <c r="BA473" s="13"/>
      <c r="BB473" s="13"/>
      <c r="BC473" s="13">
        <v>-4637.8082191780823</v>
      </c>
      <c r="BD473" s="13"/>
      <c r="BE473" s="13" t="s">
        <v>114</v>
      </c>
      <c r="BF473" s="29"/>
      <c r="BG473" s="13"/>
      <c r="BH473" s="13">
        <f>-FAR[[#This Row],[Carrying value (opening balance)]]/FAR[[#This Row],[Opening RUL 30 June 2026]]</f>
        <v>-4600.0000000000009</v>
      </c>
      <c r="BI473" s="13">
        <f>FAR[[#This Row],[Depreciation YTD]]/12</f>
        <v>-383.33333333333343</v>
      </c>
      <c r="BJ473" s="13"/>
      <c r="BK473" s="13" t="s">
        <v>116</v>
      </c>
      <c r="BL473" s="13">
        <v>0</v>
      </c>
      <c r="BM473" s="13">
        <f>FAR[[#This Row],[Accumulated depreciation (Opening balance)]]+FAR[[#This Row],[Depreciation YTD]]+FAR[[#This Row],[Derecognitions (acc dep) '[+']]]</f>
        <v>-9237.8082191780832</v>
      </c>
      <c r="BN473" s="13"/>
      <c r="BO473" s="13"/>
      <c r="BP473" s="13"/>
      <c r="BQ473" s="13"/>
      <c r="BR47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73" s="13">
        <f>FAR[[#This Row],[Cost Price (closing balance)]]+FAR[[#This Row],[Accumulated depreciation (Closing balance)]]+FAR[[#This Row],[Accumulated impairments (Closing balance)]]</f>
        <v>13762.191780821917</v>
      </c>
      <c r="BT473" s="13">
        <f>FAR[[#This Row],[Accumulated depreciation (Opening balance)]]</f>
        <v>-4637.8082191780823</v>
      </c>
      <c r="BU473" s="13"/>
      <c r="BV473" s="13"/>
      <c r="BW473" s="10"/>
      <c r="BX473" s="9"/>
      <c r="BY473" s="10"/>
      <c r="BZ473" t="s">
        <v>948</v>
      </c>
      <c r="CA473"/>
      <c r="CB473" s="34"/>
      <c r="CC473" s="34"/>
      <c r="CD473" s="34"/>
      <c r="CE473" s="141">
        <f>FAR[[#This Row],[Additions capitalised (@actual cost)]]/FAR[[#This Row],[EUL]]</f>
        <v>0</v>
      </c>
    </row>
    <row r="474" spans="1:83">
      <c r="A474" s="35">
        <v>1952</v>
      </c>
      <c r="B474" s="9" t="str">
        <f>VLOOKUP(FAR[[#This Row],[Component ID/ Bar code]],[3]nhc!$I$1:$P$686,8,0)</f>
        <v xml:space="preserve">Open Plan finance </v>
      </c>
      <c r="C474" s="9" t="s">
        <v>54</v>
      </c>
      <c r="D474" s="10" t="s">
        <v>1</v>
      </c>
      <c r="E474" s="9" t="s">
        <v>115</v>
      </c>
      <c r="F474" s="36" t="s">
        <v>99</v>
      </c>
      <c r="G474" s="9" t="s">
        <v>100</v>
      </c>
      <c r="H474" s="3" t="s">
        <v>103</v>
      </c>
      <c r="I474" s="9" t="s">
        <v>100</v>
      </c>
      <c r="J474" s="36" t="s">
        <v>101</v>
      </c>
      <c r="K474" s="10" t="s">
        <v>559</v>
      </c>
      <c r="L474" s="10" t="s">
        <v>559</v>
      </c>
      <c r="M474" s="9" t="s">
        <v>100</v>
      </c>
      <c r="N474" s="10" t="s">
        <v>837</v>
      </c>
      <c r="O474" s="9" t="s">
        <v>100</v>
      </c>
      <c r="P474" s="10"/>
      <c r="Q474" s="10" t="s">
        <v>837</v>
      </c>
      <c r="R474" s="10" t="s">
        <v>119</v>
      </c>
      <c r="S474" s="10" t="s">
        <v>130</v>
      </c>
      <c r="T474" s="10" t="s">
        <v>120</v>
      </c>
      <c r="U474" s="10" t="s">
        <v>101</v>
      </c>
      <c r="V474" s="10" t="s">
        <v>121</v>
      </c>
      <c r="W474" s="10" t="s">
        <v>122</v>
      </c>
      <c r="X474" s="10" t="s">
        <v>123</v>
      </c>
      <c r="Y474" s="29">
        <v>1</v>
      </c>
      <c r="Z474" s="138" t="s">
        <v>849</v>
      </c>
      <c r="AA474" s="138">
        <v>45379</v>
      </c>
      <c r="AB474" s="9" t="s">
        <v>114</v>
      </c>
      <c r="AC474" s="9" t="s">
        <v>124</v>
      </c>
      <c r="AD474" s="15">
        <v>45382</v>
      </c>
      <c r="AE474" s="39" t="s">
        <v>125</v>
      </c>
      <c r="AF474" s="177">
        <v>5</v>
      </c>
      <c r="AG474" s="140">
        <v>0</v>
      </c>
      <c r="AH474" s="9">
        <v>0</v>
      </c>
      <c r="AI474" s="10" t="s">
        <v>126</v>
      </c>
      <c r="AJ474" s="10"/>
      <c r="AK474" s="29"/>
      <c r="AL474" s="12">
        <v>3.9917808219178079</v>
      </c>
      <c r="AM474" s="10">
        <v>0</v>
      </c>
      <c r="AN474" s="12">
        <f>FAR[[#This Row],[Opening RUL]]+FAR[[#This Row],[RUL Adjustment]]</f>
        <v>3.9917808219178079</v>
      </c>
      <c r="AO474" s="12">
        <f>FAR[[#This Row],[Opening RUL 30 June 2026]]-1</f>
        <v>2.9917808219178079</v>
      </c>
      <c r="AP474" s="12" t="s">
        <v>1050</v>
      </c>
      <c r="AQ474" s="139"/>
      <c r="AR474" s="10" t="s">
        <v>127</v>
      </c>
      <c r="AS474" s="13">
        <v>23000</v>
      </c>
      <c r="AT474" s="13"/>
      <c r="AU474" s="13"/>
      <c r="AV474" s="13"/>
      <c r="AW474" s="13"/>
      <c r="AX474" s="13">
        <v>23000</v>
      </c>
      <c r="AY474" s="13">
        <v>18362.191780821919</v>
      </c>
      <c r="AZ474" s="13">
        <v>0</v>
      </c>
      <c r="BA474" s="13"/>
      <c r="BB474" s="13"/>
      <c r="BC474" s="13">
        <v>-4637.8082191780823</v>
      </c>
      <c r="BD474" s="13"/>
      <c r="BE474" s="13" t="s">
        <v>114</v>
      </c>
      <c r="BF474" s="29"/>
      <c r="BG474" s="13"/>
      <c r="BH474" s="13">
        <f>-FAR[[#This Row],[Carrying value (opening balance)]]/FAR[[#This Row],[Opening RUL 30 June 2026]]</f>
        <v>-4600.0000000000009</v>
      </c>
      <c r="BI474" s="13">
        <f>FAR[[#This Row],[Depreciation YTD]]/12</f>
        <v>-383.33333333333343</v>
      </c>
      <c r="BJ474" s="13"/>
      <c r="BK474" s="13" t="s">
        <v>116</v>
      </c>
      <c r="BL474" s="13">
        <v>0</v>
      </c>
      <c r="BM474" s="13">
        <f>FAR[[#This Row],[Accumulated depreciation (Opening balance)]]+FAR[[#This Row],[Depreciation YTD]]+FAR[[#This Row],[Derecognitions (acc dep) '[+']]]</f>
        <v>-9237.8082191780832</v>
      </c>
      <c r="BN474" s="13"/>
      <c r="BO474" s="13"/>
      <c r="BP474" s="13"/>
      <c r="BQ474" s="13"/>
      <c r="BR47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74" s="13">
        <f>FAR[[#This Row],[Cost Price (closing balance)]]+FAR[[#This Row],[Accumulated depreciation (Closing balance)]]+FAR[[#This Row],[Accumulated impairments (Closing balance)]]</f>
        <v>13762.191780821917</v>
      </c>
      <c r="BT474" s="13">
        <f>FAR[[#This Row],[Accumulated depreciation (Opening balance)]]</f>
        <v>-4637.8082191780823</v>
      </c>
      <c r="BU474" s="13"/>
      <c r="BV474" s="13"/>
      <c r="BW474" s="10"/>
      <c r="BX474" s="9"/>
      <c r="BY474" s="10"/>
      <c r="BZ474" t="s">
        <v>1047</v>
      </c>
      <c r="CA474"/>
      <c r="CB474" s="34"/>
      <c r="CC474" s="34"/>
      <c r="CD474" s="34"/>
      <c r="CE474" s="141">
        <f>FAR[[#This Row],[Additions capitalised (@actual cost)]]/FAR[[#This Row],[EUL]]</f>
        <v>0</v>
      </c>
    </row>
    <row r="475" spans="1:83">
      <c r="A475" s="35">
        <v>1953</v>
      </c>
      <c r="B475" s="9" t="e">
        <f>VLOOKUP(FAR[[#This Row],[Component ID/ Bar code]],[3]nhc!$I$1:$P$686,8,0)</f>
        <v>#REF!</v>
      </c>
      <c r="C475" s="9" t="s">
        <v>54</v>
      </c>
      <c r="D475" s="10" t="s">
        <v>1</v>
      </c>
      <c r="E475" s="9" t="s">
        <v>115</v>
      </c>
      <c r="F475" s="36" t="s">
        <v>99</v>
      </c>
      <c r="G475" s="9" t="s">
        <v>100</v>
      </c>
      <c r="H475" s="3" t="s">
        <v>103</v>
      </c>
      <c r="I475" s="9" t="s">
        <v>100</v>
      </c>
      <c r="J475" s="36" t="s">
        <v>101</v>
      </c>
      <c r="K475" s="10" t="s">
        <v>559</v>
      </c>
      <c r="L475" s="10" t="s">
        <v>559</v>
      </c>
      <c r="M475" s="9" t="s">
        <v>100</v>
      </c>
      <c r="N475" s="10" t="s">
        <v>838</v>
      </c>
      <c r="O475" s="9" t="s">
        <v>100</v>
      </c>
      <c r="P475" s="10"/>
      <c r="Q475" s="10" t="s">
        <v>838</v>
      </c>
      <c r="R475" s="10" t="s">
        <v>119</v>
      </c>
      <c r="S475" s="10" t="s">
        <v>130</v>
      </c>
      <c r="T475" s="10" t="s">
        <v>120</v>
      </c>
      <c r="U475" s="10" t="s">
        <v>101</v>
      </c>
      <c r="V475" s="10" t="s">
        <v>121</v>
      </c>
      <c r="W475" s="10" t="s">
        <v>122</v>
      </c>
      <c r="X475" s="10" t="s">
        <v>123</v>
      </c>
      <c r="Y475" s="29">
        <v>1</v>
      </c>
      <c r="Z475" s="138" t="s">
        <v>849</v>
      </c>
      <c r="AA475" s="138">
        <v>45379</v>
      </c>
      <c r="AB475" s="9" t="s">
        <v>114</v>
      </c>
      <c r="AC475" s="9" t="s">
        <v>124</v>
      </c>
      <c r="AD475" s="15">
        <v>45382</v>
      </c>
      <c r="AE475" s="39" t="s">
        <v>125</v>
      </c>
      <c r="AF475" s="177">
        <v>5</v>
      </c>
      <c r="AG475" s="140">
        <v>0</v>
      </c>
      <c r="AH475" s="9">
        <v>0</v>
      </c>
      <c r="AI475" s="10" t="s">
        <v>126</v>
      </c>
      <c r="AJ475" s="10"/>
      <c r="AK475" s="29"/>
      <c r="AL475" s="12">
        <v>3.9917808219178079</v>
      </c>
      <c r="AM475" s="10">
        <v>0</v>
      </c>
      <c r="AN475" s="12">
        <f>FAR[[#This Row],[Opening RUL]]+FAR[[#This Row],[RUL Adjustment]]</f>
        <v>3.9917808219178079</v>
      </c>
      <c r="AO475" s="12">
        <f>FAR[[#This Row],[Opening RUL 30 June 2026]]-1</f>
        <v>2.9917808219178079</v>
      </c>
      <c r="AP475" s="12">
        <v>0</v>
      </c>
      <c r="AQ475" s="139"/>
      <c r="AR475" s="10" t="s">
        <v>127</v>
      </c>
      <c r="AS475" s="13">
        <v>23000</v>
      </c>
      <c r="AT475" s="13"/>
      <c r="AU475" s="13"/>
      <c r="AV475" s="13"/>
      <c r="AW475" s="13"/>
      <c r="AX475" s="13">
        <v>23000</v>
      </c>
      <c r="AY475" s="13">
        <v>18362.191780821919</v>
      </c>
      <c r="AZ475" s="13">
        <v>0</v>
      </c>
      <c r="BA475" s="13"/>
      <c r="BB475" s="13"/>
      <c r="BC475" s="13">
        <v>-4637.8082191780823</v>
      </c>
      <c r="BD475" s="13"/>
      <c r="BE475" s="13" t="s">
        <v>114</v>
      </c>
      <c r="BF475" s="29"/>
      <c r="BG475" s="13"/>
      <c r="BH475" s="13">
        <f>-FAR[[#This Row],[Carrying value (opening balance)]]/FAR[[#This Row],[Opening RUL 30 June 2026]]</f>
        <v>-4600.0000000000009</v>
      </c>
      <c r="BI475" s="13">
        <f>FAR[[#This Row],[Depreciation YTD]]/12</f>
        <v>-383.33333333333343</v>
      </c>
      <c r="BJ475" s="13"/>
      <c r="BK475" s="13" t="s">
        <v>116</v>
      </c>
      <c r="BL475" s="13">
        <v>0</v>
      </c>
      <c r="BM475" s="13">
        <f>FAR[[#This Row],[Accumulated depreciation (Opening balance)]]+FAR[[#This Row],[Depreciation YTD]]+FAR[[#This Row],[Derecognitions (acc dep) '[+']]]</f>
        <v>-9237.8082191780832</v>
      </c>
      <c r="BN475" s="13"/>
      <c r="BO475" s="13"/>
      <c r="BP475" s="13"/>
      <c r="BQ475" s="13"/>
      <c r="BR47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75" s="13">
        <f>FAR[[#This Row],[Cost Price (closing balance)]]+FAR[[#This Row],[Accumulated depreciation (Closing balance)]]+FAR[[#This Row],[Accumulated impairments (Closing balance)]]</f>
        <v>13762.191780821917</v>
      </c>
      <c r="BT475" s="13">
        <f>FAR[[#This Row],[Accumulated depreciation (Opening balance)]]</f>
        <v>-4637.8082191780823</v>
      </c>
      <c r="BU475" s="13"/>
      <c r="BV475" s="13"/>
      <c r="BW475" s="10"/>
      <c r="BX475" s="9"/>
      <c r="BY475" s="10"/>
      <c r="BZ475">
        <v>0</v>
      </c>
      <c r="CA475"/>
      <c r="CB475" s="34"/>
      <c r="CC475" s="34"/>
      <c r="CD475" s="34"/>
      <c r="CE475" s="141">
        <f>FAR[[#This Row],[Additions capitalised (@actual cost)]]/FAR[[#This Row],[EUL]]</f>
        <v>0</v>
      </c>
    </row>
    <row r="476" spans="1:83">
      <c r="A476" s="35">
        <v>1962</v>
      </c>
      <c r="B476" s="9" t="str">
        <f>VLOOKUP(FAR[[#This Row],[Component ID/ Bar code]],[3]nhc!$I$1:$P$686,8,0)</f>
        <v>R22</v>
      </c>
      <c r="C476" s="9" t="s">
        <v>54</v>
      </c>
      <c r="D476" s="10" t="s">
        <v>1</v>
      </c>
      <c r="E476" s="9" t="s">
        <v>115</v>
      </c>
      <c r="F476" s="36" t="s">
        <v>99</v>
      </c>
      <c r="G476" s="9" t="s">
        <v>100</v>
      </c>
      <c r="H476" s="3" t="s">
        <v>103</v>
      </c>
      <c r="I476" s="9" t="s">
        <v>100</v>
      </c>
      <c r="J476" s="36" t="s">
        <v>101</v>
      </c>
      <c r="K476" s="10" t="s">
        <v>559</v>
      </c>
      <c r="L476" s="10" t="s">
        <v>559</v>
      </c>
      <c r="M476" s="9" t="s">
        <v>100</v>
      </c>
      <c r="N476" s="10" t="s">
        <v>839</v>
      </c>
      <c r="O476" s="9" t="s">
        <v>100</v>
      </c>
      <c r="P476" s="10"/>
      <c r="Q476" s="10" t="s">
        <v>839</v>
      </c>
      <c r="R476" s="10" t="s">
        <v>119</v>
      </c>
      <c r="S476" s="10" t="s">
        <v>130</v>
      </c>
      <c r="T476" s="10" t="s">
        <v>120</v>
      </c>
      <c r="U476" s="10" t="s">
        <v>101</v>
      </c>
      <c r="V476" s="10" t="s">
        <v>121</v>
      </c>
      <c r="W476" s="10" t="s">
        <v>122</v>
      </c>
      <c r="X476" s="10" t="s">
        <v>123</v>
      </c>
      <c r="Y476" s="29">
        <v>1</v>
      </c>
      <c r="Z476" s="138" t="s">
        <v>849</v>
      </c>
      <c r="AA476" s="138">
        <v>45379</v>
      </c>
      <c r="AB476" s="9" t="s">
        <v>114</v>
      </c>
      <c r="AC476" s="9" t="s">
        <v>124</v>
      </c>
      <c r="AD476" s="15">
        <v>45382</v>
      </c>
      <c r="AE476" s="39" t="s">
        <v>125</v>
      </c>
      <c r="AF476" s="177">
        <v>5</v>
      </c>
      <c r="AG476" s="140">
        <v>0</v>
      </c>
      <c r="AH476" s="9">
        <v>0</v>
      </c>
      <c r="AI476" s="10" t="s">
        <v>126</v>
      </c>
      <c r="AJ476" s="10"/>
      <c r="AK476" s="29"/>
      <c r="AL476" s="12">
        <v>3.9917808219178079</v>
      </c>
      <c r="AM476" s="10">
        <v>0</v>
      </c>
      <c r="AN476" s="12">
        <f>FAR[[#This Row],[Opening RUL]]+FAR[[#This Row],[RUL Adjustment]]</f>
        <v>3.9917808219178079</v>
      </c>
      <c r="AO476" s="12">
        <f>FAR[[#This Row],[Opening RUL 30 June 2026]]-1</f>
        <v>2.9917808219178079</v>
      </c>
      <c r="AP476" s="12" t="s">
        <v>1050</v>
      </c>
      <c r="AQ476" s="139"/>
      <c r="AR476" s="10" t="s">
        <v>127</v>
      </c>
      <c r="AS476" s="13">
        <v>23000</v>
      </c>
      <c r="AT476" s="13"/>
      <c r="AU476" s="13"/>
      <c r="AV476" s="13"/>
      <c r="AW476" s="13"/>
      <c r="AX476" s="13">
        <v>23000</v>
      </c>
      <c r="AY476" s="13">
        <v>18362.191780821919</v>
      </c>
      <c r="AZ476" s="13">
        <v>0</v>
      </c>
      <c r="BA476" s="13"/>
      <c r="BB476" s="13"/>
      <c r="BC476" s="13">
        <v>-4637.8082191780823</v>
      </c>
      <c r="BD476" s="13"/>
      <c r="BE476" s="13" t="s">
        <v>114</v>
      </c>
      <c r="BF476" s="29"/>
      <c r="BG476" s="13"/>
      <c r="BH476" s="13">
        <f>-FAR[[#This Row],[Carrying value (opening balance)]]/FAR[[#This Row],[Opening RUL 30 June 2026]]</f>
        <v>-4600.0000000000009</v>
      </c>
      <c r="BI476" s="13">
        <f>FAR[[#This Row],[Depreciation YTD]]/12</f>
        <v>-383.33333333333343</v>
      </c>
      <c r="BJ476" s="13"/>
      <c r="BK476" s="13" t="s">
        <v>116</v>
      </c>
      <c r="BL476" s="13">
        <v>0</v>
      </c>
      <c r="BM476" s="13">
        <f>FAR[[#This Row],[Accumulated depreciation (Opening balance)]]+FAR[[#This Row],[Depreciation YTD]]+FAR[[#This Row],[Derecognitions (acc dep) '[+']]]</f>
        <v>-9237.8082191780832</v>
      </c>
      <c r="BN476" s="13"/>
      <c r="BO476" s="13"/>
      <c r="BP476" s="13"/>
      <c r="BQ476" s="13"/>
      <c r="BR47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76" s="13">
        <f>FAR[[#This Row],[Cost Price (closing balance)]]+FAR[[#This Row],[Accumulated depreciation (Closing balance)]]+FAR[[#This Row],[Accumulated impairments (Closing balance)]]</f>
        <v>13762.191780821917</v>
      </c>
      <c r="BT476" s="13">
        <f>FAR[[#This Row],[Accumulated depreciation (Opening balance)]]</f>
        <v>-4637.8082191780823</v>
      </c>
      <c r="BU476" s="13"/>
      <c r="BV476" s="13"/>
      <c r="BW476" s="10"/>
      <c r="BX476" s="9"/>
      <c r="BY476" s="10"/>
      <c r="BZ476" t="s">
        <v>999</v>
      </c>
      <c r="CA476"/>
      <c r="CB476" s="34"/>
      <c r="CC476" s="34"/>
      <c r="CD476" s="34"/>
      <c r="CE476" s="141">
        <f>FAR[[#This Row],[Additions capitalised (@actual cost)]]/FAR[[#This Row],[EUL]]</f>
        <v>0</v>
      </c>
    </row>
    <row r="477" spans="1:83">
      <c r="A477" s="35">
        <v>1965</v>
      </c>
      <c r="B477" s="9" t="str">
        <f>VLOOKUP(FAR[[#This Row],[Component ID/ Bar code]],[3]nhc!$I$1:$P$686,8,0)</f>
        <v>Open plan finance</v>
      </c>
      <c r="C477" s="9" t="s">
        <v>54</v>
      </c>
      <c r="D477" s="10" t="s">
        <v>1</v>
      </c>
      <c r="E477" s="9" t="s">
        <v>115</v>
      </c>
      <c r="F477" s="36" t="s">
        <v>99</v>
      </c>
      <c r="G477" s="9" t="s">
        <v>100</v>
      </c>
      <c r="H477" s="3" t="s">
        <v>103</v>
      </c>
      <c r="I477" s="9" t="s">
        <v>100</v>
      </c>
      <c r="J477" s="36" t="s">
        <v>101</v>
      </c>
      <c r="K477" s="10" t="s">
        <v>559</v>
      </c>
      <c r="L477" s="10" t="s">
        <v>559</v>
      </c>
      <c r="M477" s="9" t="s">
        <v>100</v>
      </c>
      <c r="N477" s="10" t="s">
        <v>840</v>
      </c>
      <c r="O477" s="9" t="s">
        <v>100</v>
      </c>
      <c r="P477" s="10"/>
      <c r="Q477" s="10" t="s">
        <v>840</v>
      </c>
      <c r="R477" s="10" t="s">
        <v>119</v>
      </c>
      <c r="S477" s="10" t="s">
        <v>130</v>
      </c>
      <c r="T477" s="10" t="s">
        <v>120</v>
      </c>
      <c r="U477" s="10" t="s">
        <v>101</v>
      </c>
      <c r="V477" s="10" t="s">
        <v>121</v>
      </c>
      <c r="W477" s="10" t="s">
        <v>122</v>
      </c>
      <c r="X477" s="10" t="s">
        <v>123</v>
      </c>
      <c r="Y477" s="29">
        <v>1</v>
      </c>
      <c r="Z477" s="138" t="s">
        <v>849</v>
      </c>
      <c r="AA477" s="138">
        <v>45379</v>
      </c>
      <c r="AB477" s="9" t="s">
        <v>114</v>
      </c>
      <c r="AC477" s="9" t="s">
        <v>124</v>
      </c>
      <c r="AD477" s="15">
        <v>45382</v>
      </c>
      <c r="AE477" s="39" t="s">
        <v>125</v>
      </c>
      <c r="AF477" s="177">
        <v>5</v>
      </c>
      <c r="AG477" s="140">
        <v>0</v>
      </c>
      <c r="AH477" s="9">
        <v>0</v>
      </c>
      <c r="AI477" s="10" t="s">
        <v>126</v>
      </c>
      <c r="AJ477" s="10"/>
      <c r="AK477" s="29"/>
      <c r="AL477" s="12">
        <v>3.9917808219178079</v>
      </c>
      <c r="AM477" s="10">
        <v>0</v>
      </c>
      <c r="AN477" s="12">
        <f>FAR[[#This Row],[Opening RUL]]+FAR[[#This Row],[RUL Adjustment]]</f>
        <v>3.9917808219178079</v>
      </c>
      <c r="AO477" s="12">
        <f>FAR[[#This Row],[Opening RUL 30 June 2026]]-1</f>
        <v>2.9917808219178079</v>
      </c>
      <c r="AP477" s="12" t="s">
        <v>1050</v>
      </c>
      <c r="AQ477" s="139"/>
      <c r="AR477" s="10" t="s">
        <v>127</v>
      </c>
      <c r="AS477" s="13">
        <v>23000</v>
      </c>
      <c r="AT477" s="13"/>
      <c r="AU477" s="13"/>
      <c r="AV477" s="13"/>
      <c r="AW477" s="13"/>
      <c r="AX477" s="13">
        <v>23000</v>
      </c>
      <c r="AY477" s="13">
        <v>18362.191780821919</v>
      </c>
      <c r="AZ477" s="13">
        <v>0</v>
      </c>
      <c r="BA477" s="13"/>
      <c r="BB477" s="13"/>
      <c r="BC477" s="13">
        <v>-4637.8082191780823</v>
      </c>
      <c r="BD477" s="13"/>
      <c r="BE477" s="13" t="s">
        <v>114</v>
      </c>
      <c r="BF477" s="29"/>
      <c r="BG477" s="13"/>
      <c r="BH477" s="13">
        <f>-FAR[[#This Row],[Carrying value (opening balance)]]/FAR[[#This Row],[Opening RUL 30 June 2026]]</f>
        <v>-4600.0000000000009</v>
      </c>
      <c r="BI477" s="13">
        <f>FAR[[#This Row],[Depreciation YTD]]/12</f>
        <v>-383.33333333333343</v>
      </c>
      <c r="BJ477" s="13"/>
      <c r="BK477" s="13" t="s">
        <v>116</v>
      </c>
      <c r="BL477" s="13">
        <v>0</v>
      </c>
      <c r="BM477" s="13">
        <f>FAR[[#This Row],[Accumulated depreciation (Opening balance)]]+FAR[[#This Row],[Depreciation YTD]]+FAR[[#This Row],[Derecognitions (acc dep) '[+']]]</f>
        <v>-9237.8082191780832</v>
      </c>
      <c r="BN477" s="13"/>
      <c r="BO477" s="13"/>
      <c r="BP477" s="13"/>
      <c r="BQ477" s="13"/>
      <c r="BR47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77" s="13">
        <f>FAR[[#This Row],[Cost Price (closing balance)]]+FAR[[#This Row],[Accumulated depreciation (Closing balance)]]+FAR[[#This Row],[Accumulated impairments (Closing balance)]]</f>
        <v>13762.191780821917</v>
      </c>
      <c r="BT477" s="13">
        <f>FAR[[#This Row],[Accumulated depreciation (Opening balance)]]</f>
        <v>-4637.8082191780823</v>
      </c>
      <c r="BU477" s="13"/>
      <c r="BV477" s="13"/>
      <c r="BW477" s="10"/>
      <c r="BX477" s="9"/>
      <c r="BY477" s="10"/>
      <c r="BZ477" t="s">
        <v>1048</v>
      </c>
      <c r="CA477"/>
      <c r="CB477" s="34"/>
      <c r="CC477" s="34"/>
      <c r="CD477" s="34"/>
      <c r="CE477" s="141">
        <f>FAR[[#This Row],[Additions capitalised (@actual cost)]]/FAR[[#This Row],[EUL]]</f>
        <v>0</v>
      </c>
    </row>
    <row r="478" spans="1:83">
      <c r="A478" s="35">
        <v>1971</v>
      </c>
      <c r="B478" s="9" t="str">
        <f>VLOOKUP(FAR[[#This Row],[Component ID/ Bar code]],[3]nhc!$I$1:$P$686,8,0)</f>
        <v>R25</v>
      </c>
      <c r="C478" s="9" t="s">
        <v>54</v>
      </c>
      <c r="D478" s="10" t="s">
        <v>1</v>
      </c>
      <c r="E478" s="9" t="s">
        <v>115</v>
      </c>
      <c r="F478" s="36" t="s">
        <v>99</v>
      </c>
      <c r="G478" s="9" t="s">
        <v>100</v>
      </c>
      <c r="H478" s="3" t="s">
        <v>103</v>
      </c>
      <c r="I478" s="9" t="s">
        <v>100</v>
      </c>
      <c r="J478" s="36" t="s">
        <v>101</v>
      </c>
      <c r="K478" s="10" t="s">
        <v>559</v>
      </c>
      <c r="L478" s="10" t="s">
        <v>559</v>
      </c>
      <c r="M478" s="9" t="s">
        <v>100</v>
      </c>
      <c r="N478" s="10" t="s">
        <v>841</v>
      </c>
      <c r="O478" s="9" t="s">
        <v>100</v>
      </c>
      <c r="P478" s="10"/>
      <c r="Q478" s="10" t="s">
        <v>841</v>
      </c>
      <c r="R478" s="10" t="s">
        <v>119</v>
      </c>
      <c r="S478" s="10" t="s">
        <v>130</v>
      </c>
      <c r="T478" s="10" t="s">
        <v>120</v>
      </c>
      <c r="U478" s="10" t="s">
        <v>101</v>
      </c>
      <c r="V478" s="10" t="s">
        <v>121</v>
      </c>
      <c r="W478" s="10" t="s">
        <v>122</v>
      </c>
      <c r="X478" s="10" t="s">
        <v>123</v>
      </c>
      <c r="Y478" s="29">
        <v>1</v>
      </c>
      <c r="Z478" s="138" t="s">
        <v>849</v>
      </c>
      <c r="AA478" s="138">
        <v>45379</v>
      </c>
      <c r="AB478" s="9" t="s">
        <v>114</v>
      </c>
      <c r="AC478" s="9" t="s">
        <v>124</v>
      </c>
      <c r="AD478" s="15">
        <v>45382</v>
      </c>
      <c r="AE478" s="39" t="s">
        <v>125</v>
      </c>
      <c r="AF478" s="177">
        <v>5</v>
      </c>
      <c r="AG478" s="140">
        <v>0</v>
      </c>
      <c r="AH478" s="9">
        <v>0</v>
      </c>
      <c r="AI478" s="10" t="s">
        <v>126</v>
      </c>
      <c r="AJ478" s="10"/>
      <c r="AK478" s="29"/>
      <c r="AL478" s="12">
        <v>3.9917808219178079</v>
      </c>
      <c r="AM478" s="10">
        <v>0</v>
      </c>
      <c r="AN478" s="12">
        <f>FAR[[#This Row],[Opening RUL]]+FAR[[#This Row],[RUL Adjustment]]</f>
        <v>3.9917808219178079</v>
      </c>
      <c r="AO478" s="12">
        <f>FAR[[#This Row],[Opening RUL 30 June 2026]]-1</f>
        <v>2.9917808219178079</v>
      </c>
      <c r="AP478" s="12" t="s">
        <v>1050</v>
      </c>
      <c r="AQ478" s="139"/>
      <c r="AR478" s="10" t="s">
        <v>127</v>
      </c>
      <c r="AS478" s="13">
        <v>23000</v>
      </c>
      <c r="AT478" s="13"/>
      <c r="AU478" s="13"/>
      <c r="AV478" s="13"/>
      <c r="AW478" s="13"/>
      <c r="AX478" s="13">
        <v>23000</v>
      </c>
      <c r="AY478" s="13">
        <v>18362.191780821919</v>
      </c>
      <c r="AZ478" s="13">
        <v>0</v>
      </c>
      <c r="BA478" s="13"/>
      <c r="BB478" s="13"/>
      <c r="BC478" s="13">
        <v>-4637.8082191780823</v>
      </c>
      <c r="BD478" s="13"/>
      <c r="BE478" s="13" t="s">
        <v>114</v>
      </c>
      <c r="BF478" s="29"/>
      <c r="BG478" s="13"/>
      <c r="BH478" s="13">
        <f>-FAR[[#This Row],[Carrying value (opening balance)]]/FAR[[#This Row],[Opening RUL 30 June 2026]]</f>
        <v>-4600.0000000000009</v>
      </c>
      <c r="BI478" s="13">
        <f>FAR[[#This Row],[Depreciation YTD]]/12</f>
        <v>-383.33333333333343</v>
      </c>
      <c r="BJ478" s="13"/>
      <c r="BK478" s="13" t="s">
        <v>116</v>
      </c>
      <c r="BL478" s="13">
        <v>0</v>
      </c>
      <c r="BM478" s="13">
        <f>FAR[[#This Row],[Accumulated depreciation (Opening balance)]]+FAR[[#This Row],[Depreciation YTD]]+FAR[[#This Row],[Derecognitions (acc dep) '[+']]]</f>
        <v>-9237.8082191780832</v>
      </c>
      <c r="BN478" s="13"/>
      <c r="BO478" s="13"/>
      <c r="BP478" s="13"/>
      <c r="BQ478" s="13"/>
      <c r="BR47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78" s="13">
        <f>FAR[[#This Row],[Cost Price (closing balance)]]+FAR[[#This Row],[Accumulated depreciation (Closing balance)]]+FAR[[#This Row],[Accumulated impairments (Closing balance)]]</f>
        <v>13762.191780821917</v>
      </c>
      <c r="BT478" s="13">
        <f>FAR[[#This Row],[Accumulated depreciation (Opening balance)]]</f>
        <v>-4637.8082191780823</v>
      </c>
      <c r="BU478" s="13"/>
      <c r="BV478" s="13"/>
      <c r="BW478" s="10"/>
      <c r="BX478" s="9"/>
      <c r="BY478" s="10"/>
      <c r="BZ478" t="s">
        <v>1049</v>
      </c>
      <c r="CA478"/>
      <c r="CB478" s="34"/>
      <c r="CC478" s="34"/>
      <c r="CD478" s="34"/>
      <c r="CE478" s="141">
        <f>FAR[[#This Row],[Additions capitalised (@actual cost)]]/FAR[[#This Row],[EUL]]</f>
        <v>0</v>
      </c>
    </row>
    <row r="479" spans="1:83">
      <c r="A479" s="35">
        <v>1972</v>
      </c>
      <c r="B479" s="9" t="e">
        <f>VLOOKUP(FAR[[#This Row],[Component ID/ Bar code]],[3]nhc!$I$1:$P$686,8,0)</f>
        <v>#REF!</v>
      </c>
      <c r="C479" s="9" t="s">
        <v>54</v>
      </c>
      <c r="D479" s="10" t="s">
        <v>1</v>
      </c>
      <c r="E479" s="9" t="s">
        <v>115</v>
      </c>
      <c r="F479" s="36" t="s">
        <v>99</v>
      </c>
      <c r="G479" s="9" t="s">
        <v>100</v>
      </c>
      <c r="H479" s="3" t="s">
        <v>103</v>
      </c>
      <c r="I479" s="9" t="s">
        <v>100</v>
      </c>
      <c r="J479" s="36" t="s">
        <v>101</v>
      </c>
      <c r="K479" s="10" t="s">
        <v>559</v>
      </c>
      <c r="L479" s="10" t="s">
        <v>559</v>
      </c>
      <c r="M479" s="9" t="s">
        <v>100</v>
      </c>
      <c r="N479" s="10" t="s">
        <v>842</v>
      </c>
      <c r="O479" s="9" t="s">
        <v>100</v>
      </c>
      <c r="P479" s="10"/>
      <c r="Q479" s="10" t="s">
        <v>842</v>
      </c>
      <c r="R479" s="10" t="s">
        <v>119</v>
      </c>
      <c r="S479" s="10" t="s">
        <v>130</v>
      </c>
      <c r="T479" s="10" t="s">
        <v>120</v>
      </c>
      <c r="U479" s="10" t="s">
        <v>101</v>
      </c>
      <c r="V479" s="10" t="s">
        <v>121</v>
      </c>
      <c r="W479" s="10" t="s">
        <v>122</v>
      </c>
      <c r="X479" s="10" t="s">
        <v>123</v>
      </c>
      <c r="Y479" s="29">
        <v>1</v>
      </c>
      <c r="Z479" s="138" t="s">
        <v>849</v>
      </c>
      <c r="AA479" s="138">
        <v>45379</v>
      </c>
      <c r="AB479" s="9" t="s">
        <v>114</v>
      </c>
      <c r="AC479" s="9" t="s">
        <v>124</v>
      </c>
      <c r="AD479" s="15">
        <v>45382</v>
      </c>
      <c r="AE479" s="39" t="s">
        <v>125</v>
      </c>
      <c r="AF479" s="177">
        <v>5</v>
      </c>
      <c r="AG479" s="140">
        <v>0</v>
      </c>
      <c r="AH479" s="9">
        <v>0</v>
      </c>
      <c r="AI479" s="10" t="s">
        <v>126</v>
      </c>
      <c r="AJ479" s="10"/>
      <c r="AK479" s="29"/>
      <c r="AL479" s="12">
        <v>3.9917808219178079</v>
      </c>
      <c r="AM479" s="10">
        <v>0</v>
      </c>
      <c r="AN479" s="12">
        <f>FAR[[#This Row],[Opening RUL]]+FAR[[#This Row],[RUL Adjustment]]</f>
        <v>3.9917808219178079</v>
      </c>
      <c r="AO479" s="12">
        <f>FAR[[#This Row],[Opening RUL 30 June 2026]]-1</f>
        <v>2.9917808219178079</v>
      </c>
      <c r="AP479" s="12" t="s">
        <v>1050</v>
      </c>
      <c r="AQ479" s="139"/>
      <c r="AR479" s="10" t="s">
        <v>127</v>
      </c>
      <c r="AS479" s="109">
        <v>23000</v>
      </c>
      <c r="AT479" s="109"/>
      <c r="AU479" s="13"/>
      <c r="AV479" s="13"/>
      <c r="AW479" s="13"/>
      <c r="AX479" s="13">
        <v>23000</v>
      </c>
      <c r="AY479" s="13">
        <v>3149.5499999999993</v>
      </c>
      <c r="AZ479" s="13">
        <v>0</v>
      </c>
      <c r="BA479" s="13"/>
      <c r="BB479" s="13"/>
      <c r="BC479" s="13">
        <v>-4637.8082191780823</v>
      </c>
      <c r="BD479" s="13"/>
      <c r="BE479" s="13" t="s">
        <v>114</v>
      </c>
      <c r="BF479" s="29"/>
      <c r="BG479" s="13"/>
      <c r="BH479" s="13">
        <f>-FAR[[#This Row],[Carrying value (opening balance)]]/FAR[[#This Row],[Opening RUL 30 June 2026]]</f>
        <v>-789.00875085792711</v>
      </c>
      <c r="BI479" s="13">
        <f>FAR[[#This Row],[Depreciation YTD]]/12</f>
        <v>-65.750729238160588</v>
      </c>
      <c r="BJ479" s="13"/>
      <c r="BK479" s="13" t="s">
        <v>116</v>
      </c>
      <c r="BL479" s="13">
        <v>0</v>
      </c>
      <c r="BM479" s="13">
        <f>FAR[[#This Row],[Accumulated depreciation (Opening balance)]]+FAR[[#This Row],[Depreciation YTD]]+FAR[[#This Row],[Derecognitions (acc dep) '[+']]]</f>
        <v>-5426.8169700360095</v>
      </c>
      <c r="BN479" s="13">
        <v>-15212.641780821919</v>
      </c>
      <c r="BO479" s="13">
        <v>0</v>
      </c>
      <c r="BP479" s="13"/>
      <c r="BQ479" s="13"/>
      <c r="BR479" s="13">
        <v>-15212.641780821919</v>
      </c>
      <c r="BS479" s="13">
        <f>FAR[[#This Row],[Cost Price (closing balance)]]+FAR[[#This Row],[Accumulated depreciation (Closing balance)]]+FAR[[#This Row],[Accumulated impairments (Closing balance)]]</f>
        <v>2360.541249142072</v>
      </c>
      <c r="BT479" s="13">
        <f>FAR[[#This Row],[Accumulated depreciation (Opening balance)]]</f>
        <v>-4637.8082191780823</v>
      </c>
      <c r="BU479" s="13"/>
      <c r="BV479" s="13"/>
      <c r="BW479" s="10"/>
      <c r="BX479" s="9"/>
      <c r="BY479" s="10"/>
      <c r="BZ479" t="s">
        <v>1172</v>
      </c>
      <c r="CA479"/>
      <c r="CB479" s="34"/>
      <c r="CC479" s="34"/>
      <c r="CD479" s="34"/>
      <c r="CE479" s="141">
        <f>FAR[[#This Row],[Additions capitalised (@actual cost)]]/FAR[[#This Row],[EUL]]</f>
        <v>0</v>
      </c>
    </row>
    <row r="480" spans="1:83">
      <c r="A480" s="35">
        <v>1973</v>
      </c>
      <c r="B480" s="9" t="str">
        <f>VLOOKUP(FAR[[#This Row],[Component ID/ Bar code]],[3]nhc!$I$1:$P$686,8,0)</f>
        <v xml:space="preserve">Open plan co- business </v>
      </c>
      <c r="C480" s="9" t="s">
        <v>54</v>
      </c>
      <c r="D480" s="10" t="s">
        <v>1</v>
      </c>
      <c r="E480" s="9" t="s">
        <v>115</v>
      </c>
      <c r="F480" s="36" t="s">
        <v>99</v>
      </c>
      <c r="G480" s="9" t="s">
        <v>100</v>
      </c>
      <c r="H480" s="3" t="s">
        <v>103</v>
      </c>
      <c r="I480" s="9" t="s">
        <v>100</v>
      </c>
      <c r="J480" s="36" t="s">
        <v>101</v>
      </c>
      <c r="K480" s="10" t="s">
        <v>559</v>
      </c>
      <c r="L480" s="10" t="s">
        <v>559</v>
      </c>
      <c r="M480" s="9" t="s">
        <v>100</v>
      </c>
      <c r="N480" s="10" t="s">
        <v>843</v>
      </c>
      <c r="O480" s="9" t="s">
        <v>100</v>
      </c>
      <c r="P480" s="10"/>
      <c r="Q480" s="10" t="s">
        <v>843</v>
      </c>
      <c r="R480" s="10" t="s">
        <v>119</v>
      </c>
      <c r="S480" s="10" t="s">
        <v>130</v>
      </c>
      <c r="T480" s="10" t="s">
        <v>120</v>
      </c>
      <c r="U480" s="10" t="s">
        <v>101</v>
      </c>
      <c r="V480" s="10" t="s">
        <v>121</v>
      </c>
      <c r="W480" s="10" t="s">
        <v>122</v>
      </c>
      <c r="X480" s="10" t="s">
        <v>123</v>
      </c>
      <c r="Y480" s="29">
        <v>1</v>
      </c>
      <c r="Z480" s="138" t="s">
        <v>849</v>
      </c>
      <c r="AA480" s="138">
        <v>45379</v>
      </c>
      <c r="AB480" s="9" t="s">
        <v>114</v>
      </c>
      <c r="AC480" s="9" t="s">
        <v>124</v>
      </c>
      <c r="AD480" s="15">
        <v>45382</v>
      </c>
      <c r="AE480" s="39" t="s">
        <v>125</v>
      </c>
      <c r="AF480" s="177">
        <v>5</v>
      </c>
      <c r="AG480" s="140">
        <v>0</v>
      </c>
      <c r="AH480" s="9">
        <v>0</v>
      </c>
      <c r="AI480" s="10" t="s">
        <v>126</v>
      </c>
      <c r="AJ480" s="10"/>
      <c r="AK480" s="29"/>
      <c r="AL480" s="12">
        <v>3.9917808219178079</v>
      </c>
      <c r="AM480" s="10">
        <v>0</v>
      </c>
      <c r="AN480" s="12">
        <f>FAR[[#This Row],[Opening RUL]]+FAR[[#This Row],[RUL Adjustment]]</f>
        <v>3.9917808219178079</v>
      </c>
      <c r="AO480" s="12">
        <f>FAR[[#This Row],[Opening RUL 30 June 2026]]-1</f>
        <v>2.9917808219178079</v>
      </c>
      <c r="AP480" s="12" t="s">
        <v>1050</v>
      </c>
      <c r="AQ480" s="139"/>
      <c r="AR480" s="10" t="s">
        <v>127</v>
      </c>
      <c r="AS480" s="13">
        <v>23000</v>
      </c>
      <c r="AT480" s="13"/>
      <c r="AU480" s="13"/>
      <c r="AV480" s="13"/>
      <c r="AW480" s="13"/>
      <c r="AX480" s="13">
        <v>23000</v>
      </c>
      <c r="AY480" s="13">
        <v>18362.191780821919</v>
      </c>
      <c r="AZ480" s="13">
        <v>0</v>
      </c>
      <c r="BA480" s="13"/>
      <c r="BB480" s="13"/>
      <c r="BC480" s="13">
        <v>-4637.8082191780823</v>
      </c>
      <c r="BD480" s="13"/>
      <c r="BE480" s="13" t="s">
        <v>114</v>
      </c>
      <c r="BF480" s="29"/>
      <c r="BG480" s="13"/>
      <c r="BH480" s="13">
        <f>-FAR[[#This Row],[Carrying value (opening balance)]]/FAR[[#This Row],[Opening RUL 30 June 2026]]</f>
        <v>-4600.0000000000009</v>
      </c>
      <c r="BI480" s="13">
        <f>FAR[[#This Row],[Depreciation YTD]]/12</f>
        <v>-383.33333333333343</v>
      </c>
      <c r="BJ480" s="13"/>
      <c r="BK480" s="13" t="s">
        <v>116</v>
      </c>
      <c r="BL480" s="13">
        <v>0</v>
      </c>
      <c r="BM480" s="13">
        <f>FAR[[#This Row],[Accumulated depreciation (Opening balance)]]+FAR[[#This Row],[Depreciation YTD]]+FAR[[#This Row],[Derecognitions (acc dep) '[+']]]</f>
        <v>-9237.8082191780832</v>
      </c>
      <c r="BN480" s="13"/>
      <c r="BO480" s="13"/>
      <c r="BP480" s="13"/>
      <c r="BQ480" s="13"/>
      <c r="BR48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80" s="13">
        <f>FAR[[#This Row],[Cost Price (closing balance)]]+FAR[[#This Row],[Accumulated depreciation (Closing balance)]]+FAR[[#This Row],[Accumulated impairments (Closing balance)]]</f>
        <v>13762.191780821917</v>
      </c>
      <c r="BT480" s="13">
        <f>FAR[[#This Row],[Accumulated depreciation (Opening balance)]]</f>
        <v>-4637.8082191780823</v>
      </c>
      <c r="BU480" s="13"/>
      <c r="BV480" s="13"/>
      <c r="BW480" s="10"/>
      <c r="BX480" s="9"/>
      <c r="BY480" s="10"/>
      <c r="BZ480" t="s">
        <v>1028</v>
      </c>
      <c r="CA480"/>
      <c r="CB480" s="34"/>
      <c r="CC480" s="34"/>
      <c r="CD480" s="34"/>
      <c r="CE480" s="141">
        <f>FAR[[#This Row],[Additions capitalised (@actual cost)]]/FAR[[#This Row],[EUL]]</f>
        <v>0</v>
      </c>
    </row>
    <row r="481" spans="1:83">
      <c r="A481" s="35">
        <v>1974</v>
      </c>
      <c r="B481" s="9" t="str">
        <f>VLOOKUP(FAR[[#This Row],[Component ID/ Bar code]],[3]nhc!$I$1:$P$686,8,0)</f>
        <v xml:space="preserve">R2 Open plan finance </v>
      </c>
      <c r="C481" s="9" t="s">
        <v>54</v>
      </c>
      <c r="D481" s="10" t="s">
        <v>1</v>
      </c>
      <c r="E481" s="9" t="s">
        <v>115</v>
      </c>
      <c r="F481" s="36" t="s">
        <v>99</v>
      </c>
      <c r="G481" s="9" t="s">
        <v>100</v>
      </c>
      <c r="H481" s="3" t="s">
        <v>103</v>
      </c>
      <c r="I481" s="9" t="s">
        <v>100</v>
      </c>
      <c r="J481" s="36" t="s">
        <v>101</v>
      </c>
      <c r="K481" s="10" t="s">
        <v>559</v>
      </c>
      <c r="L481" s="10" t="s">
        <v>559</v>
      </c>
      <c r="M481" s="9" t="s">
        <v>100</v>
      </c>
      <c r="N481" s="10" t="s">
        <v>844</v>
      </c>
      <c r="O481" s="9" t="s">
        <v>100</v>
      </c>
      <c r="P481" s="10"/>
      <c r="Q481" s="10" t="s">
        <v>844</v>
      </c>
      <c r="R481" s="10" t="s">
        <v>119</v>
      </c>
      <c r="S481" s="10" t="s">
        <v>130</v>
      </c>
      <c r="T481" s="10" t="s">
        <v>120</v>
      </c>
      <c r="U481" s="10" t="s">
        <v>101</v>
      </c>
      <c r="V481" s="10" t="s">
        <v>121</v>
      </c>
      <c r="W481" s="10" t="s">
        <v>122</v>
      </c>
      <c r="X481" s="10" t="s">
        <v>123</v>
      </c>
      <c r="Y481" s="29">
        <v>1</v>
      </c>
      <c r="Z481" s="138" t="s">
        <v>849</v>
      </c>
      <c r="AA481" s="138">
        <v>45379</v>
      </c>
      <c r="AB481" s="9" t="s">
        <v>114</v>
      </c>
      <c r="AC481" s="9" t="s">
        <v>124</v>
      </c>
      <c r="AD481" s="15">
        <v>45382</v>
      </c>
      <c r="AE481" s="39" t="s">
        <v>125</v>
      </c>
      <c r="AF481" s="177">
        <v>5</v>
      </c>
      <c r="AG481" s="140">
        <v>0</v>
      </c>
      <c r="AH481" s="9">
        <v>0</v>
      </c>
      <c r="AI481" s="10" t="s">
        <v>126</v>
      </c>
      <c r="AJ481" s="10"/>
      <c r="AK481" s="29"/>
      <c r="AL481" s="12">
        <v>3.9917808219178079</v>
      </c>
      <c r="AM481" s="10">
        <v>0</v>
      </c>
      <c r="AN481" s="12">
        <f>FAR[[#This Row],[Opening RUL]]+FAR[[#This Row],[RUL Adjustment]]</f>
        <v>3.9917808219178079</v>
      </c>
      <c r="AO481" s="12">
        <f>FAR[[#This Row],[Opening RUL 30 June 2026]]-1</f>
        <v>2.9917808219178079</v>
      </c>
      <c r="AP481" s="12" t="s">
        <v>1050</v>
      </c>
      <c r="AQ481" s="139"/>
      <c r="AR481" s="10" t="s">
        <v>127</v>
      </c>
      <c r="AS481" s="13">
        <v>23000</v>
      </c>
      <c r="AT481" s="13"/>
      <c r="AU481" s="13"/>
      <c r="AV481" s="13"/>
      <c r="AW481" s="13"/>
      <c r="AX481" s="13">
        <v>23000</v>
      </c>
      <c r="AY481" s="13">
        <v>18362.191780821919</v>
      </c>
      <c r="AZ481" s="13">
        <v>0</v>
      </c>
      <c r="BA481" s="13"/>
      <c r="BB481" s="13"/>
      <c r="BC481" s="13">
        <v>-4637.8082191780823</v>
      </c>
      <c r="BD481" s="13"/>
      <c r="BE481" s="13" t="s">
        <v>114</v>
      </c>
      <c r="BF481" s="29"/>
      <c r="BG481" s="13"/>
      <c r="BH481" s="13">
        <f>-FAR[[#This Row],[Carrying value (opening balance)]]/FAR[[#This Row],[Opening RUL 30 June 2026]]</f>
        <v>-4600.0000000000009</v>
      </c>
      <c r="BI481" s="13">
        <f>FAR[[#This Row],[Depreciation YTD]]/12</f>
        <v>-383.33333333333343</v>
      </c>
      <c r="BJ481" s="13"/>
      <c r="BK481" s="13" t="s">
        <v>116</v>
      </c>
      <c r="BL481" s="13">
        <v>0</v>
      </c>
      <c r="BM481" s="13">
        <f>FAR[[#This Row],[Accumulated depreciation (Opening balance)]]+FAR[[#This Row],[Depreciation YTD]]+FAR[[#This Row],[Derecognitions (acc dep) '[+']]]</f>
        <v>-9237.8082191780832</v>
      </c>
      <c r="BN481" s="13"/>
      <c r="BO481" s="13"/>
      <c r="BP481" s="13"/>
      <c r="BQ481" s="13"/>
      <c r="BR48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81" s="13">
        <f>FAR[[#This Row],[Cost Price (closing balance)]]+FAR[[#This Row],[Accumulated depreciation (Closing balance)]]+FAR[[#This Row],[Accumulated impairments (Closing balance)]]</f>
        <v>13762.191780821917</v>
      </c>
      <c r="BT481" s="13">
        <f>FAR[[#This Row],[Accumulated depreciation (Opening balance)]]</f>
        <v>-4637.8082191780823</v>
      </c>
      <c r="BU481" s="13"/>
      <c r="BV481" s="13"/>
      <c r="BW481" s="10"/>
      <c r="BX481" s="9"/>
      <c r="BY481" s="10"/>
      <c r="BZ481" t="s">
        <v>945</v>
      </c>
      <c r="CA481"/>
      <c r="CB481" s="34"/>
      <c r="CC481" s="34"/>
      <c r="CD481" s="34"/>
      <c r="CE481" s="141">
        <f>FAR[[#This Row],[Additions capitalised (@actual cost)]]/FAR[[#This Row],[EUL]]</f>
        <v>0</v>
      </c>
    </row>
    <row r="482" spans="1:83">
      <c r="A482" s="35">
        <v>1975</v>
      </c>
      <c r="B482" s="9" t="e">
        <f>VLOOKUP(FAR[[#This Row],[Component ID/ Bar code]],[3]nhc!$I$1:$P$686,8,0)</f>
        <v>#REF!</v>
      </c>
      <c r="C482" s="9" t="s">
        <v>54</v>
      </c>
      <c r="D482" s="10" t="s">
        <v>1</v>
      </c>
      <c r="E482" s="9" t="s">
        <v>115</v>
      </c>
      <c r="F482" s="36" t="s">
        <v>99</v>
      </c>
      <c r="G482" s="9" t="s">
        <v>100</v>
      </c>
      <c r="H482" s="3" t="s">
        <v>103</v>
      </c>
      <c r="I482" s="9" t="s">
        <v>100</v>
      </c>
      <c r="J482" s="36" t="s">
        <v>101</v>
      </c>
      <c r="K482" s="10" t="s">
        <v>559</v>
      </c>
      <c r="L482" s="10" t="s">
        <v>559</v>
      </c>
      <c r="M482" s="9" t="s">
        <v>100</v>
      </c>
      <c r="N482" s="10" t="s">
        <v>845</v>
      </c>
      <c r="O482" s="9" t="s">
        <v>100</v>
      </c>
      <c r="P482" s="10"/>
      <c r="Q482" s="10" t="s">
        <v>845</v>
      </c>
      <c r="R482" s="10" t="s">
        <v>119</v>
      </c>
      <c r="S482" s="10" t="s">
        <v>130</v>
      </c>
      <c r="T482" s="10" t="s">
        <v>120</v>
      </c>
      <c r="U482" s="10" t="s">
        <v>101</v>
      </c>
      <c r="V482" s="10" t="s">
        <v>121</v>
      </c>
      <c r="W482" s="10" t="s">
        <v>122</v>
      </c>
      <c r="X482" s="10" t="s">
        <v>123</v>
      </c>
      <c r="Y482" s="29">
        <v>1</v>
      </c>
      <c r="Z482" s="138" t="s">
        <v>850</v>
      </c>
      <c r="AA482" s="138">
        <v>45338</v>
      </c>
      <c r="AB482" s="9" t="s">
        <v>114</v>
      </c>
      <c r="AC482" s="9" t="s">
        <v>124</v>
      </c>
      <c r="AD482" s="15">
        <v>45382</v>
      </c>
      <c r="AE482" s="39" t="s">
        <v>125</v>
      </c>
      <c r="AF482" s="177">
        <v>5</v>
      </c>
      <c r="AG482" s="140">
        <v>0</v>
      </c>
      <c r="AH482" s="9">
        <v>0</v>
      </c>
      <c r="AI482" s="10" t="s">
        <v>126</v>
      </c>
      <c r="AJ482" s="10"/>
      <c r="AK482" s="29"/>
      <c r="AL482" s="12">
        <v>3.8794520547945206</v>
      </c>
      <c r="AM482" s="10">
        <v>0</v>
      </c>
      <c r="AN482" s="12">
        <f>FAR[[#This Row],[Opening RUL]]+FAR[[#This Row],[RUL Adjustment]]</f>
        <v>3.8794520547945206</v>
      </c>
      <c r="AO482" s="12">
        <f>FAR[[#This Row],[Opening RUL 30 June 2026]]-1</f>
        <v>2.8794520547945206</v>
      </c>
      <c r="AP482" s="12">
        <v>0</v>
      </c>
      <c r="AQ482" s="139"/>
      <c r="AR482" s="10" t="s">
        <v>127</v>
      </c>
      <c r="AS482" s="13">
        <v>5274.19</v>
      </c>
      <c r="AT482" s="13"/>
      <c r="AU482" s="13"/>
      <c r="AV482" s="13"/>
      <c r="AW482" s="13"/>
      <c r="AX482" s="13">
        <v>5274.19</v>
      </c>
      <c r="AY482" s="13">
        <v>4092.193446575342</v>
      </c>
      <c r="AZ482" s="13">
        <v>0</v>
      </c>
      <c r="BA482" s="13"/>
      <c r="BB482" s="13"/>
      <c r="BC482" s="13">
        <v>-1181.9965534246573</v>
      </c>
      <c r="BD482" s="13"/>
      <c r="BE482" s="13" t="s">
        <v>114</v>
      </c>
      <c r="BF482" s="29"/>
      <c r="BG482" s="13"/>
      <c r="BH482" s="13">
        <f>-FAR[[#This Row],[Carrying value (opening balance)]]/FAR[[#This Row],[Opening RUL 30 June 2026]]</f>
        <v>-1054.838</v>
      </c>
      <c r="BI482" s="13">
        <f>FAR[[#This Row],[Depreciation YTD]]/12</f>
        <v>-87.903166666666664</v>
      </c>
      <c r="BJ482" s="13"/>
      <c r="BK482" s="13" t="s">
        <v>116</v>
      </c>
      <c r="BL482" s="13">
        <v>0</v>
      </c>
      <c r="BM482" s="13">
        <f>FAR[[#This Row],[Accumulated depreciation (Opening balance)]]+FAR[[#This Row],[Depreciation YTD]]+FAR[[#This Row],[Derecognitions (acc dep) '[+']]]</f>
        <v>-2236.8345534246573</v>
      </c>
      <c r="BN482" s="13"/>
      <c r="BO482" s="13"/>
      <c r="BP482" s="13"/>
      <c r="BQ482" s="13"/>
      <c r="BR48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82" s="13">
        <f>FAR[[#This Row],[Cost Price (closing balance)]]+FAR[[#This Row],[Accumulated depreciation (Closing balance)]]+FAR[[#This Row],[Accumulated impairments (Closing balance)]]</f>
        <v>3037.3554465753423</v>
      </c>
      <c r="BT482" s="13">
        <f>FAR[[#This Row],[Accumulated depreciation (Opening balance)]]</f>
        <v>-1181.9965534246573</v>
      </c>
      <c r="BU482" s="13"/>
      <c r="BV482" s="13"/>
      <c r="BW482" s="10"/>
      <c r="BX482" s="9"/>
      <c r="BY482" s="10"/>
      <c r="BZ482">
        <v>0</v>
      </c>
      <c r="CA482"/>
      <c r="CB482" s="34"/>
      <c r="CC482" s="34"/>
      <c r="CD482" s="34"/>
      <c r="CE482" s="141">
        <f>FAR[[#This Row],[Additions capitalised (@actual cost)]]/FAR[[#This Row],[EUL]]</f>
        <v>0</v>
      </c>
    </row>
    <row r="483" spans="1:83">
      <c r="A483" s="35">
        <v>1453</v>
      </c>
      <c r="B483" s="9" t="e">
        <f>VLOOKUP(FAR[[#This Row],[Component ID/ Bar code]],[3]nhc!$I$1:$P$686,8,0)</f>
        <v>#REF!</v>
      </c>
      <c r="C483" s="9" t="s">
        <v>54</v>
      </c>
      <c r="D483" s="10" t="s">
        <v>1</v>
      </c>
      <c r="E483" s="9" t="s">
        <v>115</v>
      </c>
      <c r="F483" s="36" t="s">
        <v>99</v>
      </c>
      <c r="G483" s="9" t="s">
        <v>100</v>
      </c>
      <c r="H483" s="3" t="s">
        <v>103</v>
      </c>
      <c r="I483" s="9" t="s">
        <v>100</v>
      </c>
      <c r="J483" s="36" t="s">
        <v>101</v>
      </c>
      <c r="K483" s="10" t="s">
        <v>559</v>
      </c>
      <c r="L483" s="10" t="s">
        <v>559</v>
      </c>
      <c r="M483" s="9" t="s">
        <v>100</v>
      </c>
      <c r="N483" s="10" t="s">
        <v>1071</v>
      </c>
      <c r="O483" s="9" t="s">
        <v>100</v>
      </c>
      <c r="P483" s="10"/>
      <c r="Q483" s="10" t="s">
        <v>1071</v>
      </c>
      <c r="R483" s="10" t="s">
        <v>119</v>
      </c>
      <c r="S483" s="10" t="s">
        <v>130</v>
      </c>
      <c r="T483" s="10" t="s">
        <v>120</v>
      </c>
      <c r="U483" s="10" t="s">
        <v>101</v>
      </c>
      <c r="V483" s="10" t="s">
        <v>121</v>
      </c>
      <c r="W483" s="10" t="s">
        <v>122</v>
      </c>
      <c r="X483" s="10" t="s">
        <v>123</v>
      </c>
      <c r="Y483" s="29">
        <v>1</v>
      </c>
      <c r="Z483" s="138" t="s">
        <v>850</v>
      </c>
      <c r="AA483" s="138">
        <v>45338</v>
      </c>
      <c r="AB483" s="9" t="s">
        <v>114</v>
      </c>
      <c r="AC483" s="9" t="s">
        <v>124</v>
      </c>
      <c r="AD483" s="15">
        <v>45382</v>
      </c>
      <c r="AE483" s="39" t="s">
        <v>125</v>
      </c>
      <c r="AF483" s="177">
        <v>5</v>
      </c>
      <c r="AG483" s="140">
        <v>0</v>
      </c>
      <c r="AH483" s="9">
        <v>0</v>
      </c>
      <c r="AI483" s="10" t="s">
        <v>126</v>
      </c>
      <c r="AJ483" s="10"/>
      <c r="AK483" s="29"/>
      <c r="AL483" s="12">
        <v>3.8794520547945206</v>
      </c>
      <c r="AM483" s="10">
        <v>0</v>
      </c>
      <c r="AN483" s="12">
        <f>FAR[[#This Row],[Opening RUL]]+FAR[[#This Row],[RUL Adjustment]]</f>
        <v>3.8794520547945206</v>
      </c>
      <c r="AO483" s="12">
        <f>FAR[[#This Row],[Opening RUL 30 June 2026]]-1</f>
        <v>2.8794520547945206</v>
      </c>
      <c r="AP483" s="12">
        <v>0</v>
      </c>
      <c r="AQ483" s="139"/>
      <c r="AR483" s="10" t="s">
        <v>127</v>
      </c>
      <c r="AS483" s="13">
        <v>5274.19</v>
      </c>
      <c r="AT483" s="13"/>
      <c r="AU483" s="13"/>
      <c r="AV483" s="13"/>
      <c r="AW483" s="13"/>
      <c r="AX483" s="13">
        <v>5274.19</v>
      </c>
      <c r="AY483" s="13">
        <v>4092.193446575342</v>
      </c>
      <c r="AZ483" s="13">
        <v>0</v>
      </c>
      <c r="BA483" s="13"/>
      <c r="BB483" s="13"/>
      <c r="BC483" s="13">
        <v>-1181.9965534246573</v>
      </c>
      <c r="BD483" s="13"/>
      <c r="BE483" s="13" t="s">
        <v>114</v>
      </c>
      <c r="BF483" s="29"/>
      <c r="BG483" s="13"/>
      <c r="BH483" s="13">
        <f>-FAR[[#This Row],[Carrying value (opening balance)]]/FAR[[#This Row],[Opening RUL 30 June 2026]]</f>
        <v>-1054.838</v>
      </c>
      <c r="BI483" s="13">
        <f>FAR[[#This Row],[Depreciation YTD]]/12</f>
        <v>-87.903166666666664</v>
      </c>
      <c r="BJ483" s="13"/>
      <c r="BK483" s="13" t="s">
        <v>116</v>
      </c>
      <c r="BL483" s="13">
        <v>0</v>
      </c>
      <c r="BM483" s="13">
        <f>FAR[[#This Row],[Accumulated depreciation (Opening balance)]]+FAR[[#This Row],[Depreciation YTD]]+FAR[[#This Row],[Derecognitions (acc dep) '[+']]]</f>
        <v>-2236.8345534246573</v>
      </c>
      <c r="BN483" s="13"/>
      <c r="BO483" s="13"/>
      <c r="BP483" s="13"/>
      <c r="BQ483" s="13"/>
      <c r="BR48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83" s="13">
        <f>FAR[[#This Row],[Cost Price (closing balance)]]+FAR[[#This Row],[Accumulated depreciation (Closing balance)]]+FAR[[#This Row],[Accumulated impairments (Closing balance)]]</f>
        <v>3037.3554465753423</v>
      </c>
      <c r="BT483" s="13">
        <f>FAR[[#This Row],[Accumulated depreciation (Opening balance)]]</f>
        <v>-1181.9965534246573</v>
      </c>
      <c r="BU483" s="13"/>
      <c r="BV483" s="13"/>
      <c r="BW483" s="10"/>
      <c r="BX483" s="9"/>
      <c r="BY483" s="10"/>
      <c r="BZ483"/>
      <c r="CA483"/>
      <c r="CB483" s="34"/>
      <c r="CC483" s="34"/>
      <c r="CD483" s="34"/>
      <c r="CE483" s="141">
        <f>FAR[[#This Row],[Additions capitalised (@actual cost)]]/FAR[[#This Row],[EUL]]</f>
        <v>0</v>
      </c>
    </row>
    <row r="484" spans="1:83">
      <c r="A484" s="35">
        <v>1978</v>
      </c>
      <c r="B484" s="9" t="str">
        <f>VLOOKUP(FAR[[#This Row],[Component ID/ Bar code]],[3]nhc!$I$1:$P$686,8,0)</f>
        <v>Server room finance</v>
      </c>
      <c r="C484" s="9" t="s">
        <v>54</v>
      </c>
      <c r="D484" s="10" t="s">
        <v>1</v>
      </c>
      <c r="E484" s="9" t="s">
        <v>115</v>
      </c>
      <c r="F484" s="36" t="s">
        <v>99</v>
      </c>
      <c r="G484" s="9" t="s">
        <v>100</v>
      </c>
      <c r="H484" s="3" t="s">
        <v>103</v>
      </c>
      <c r="I484" s="9" t="s">
        <v>100</v>
      </c>
      <c r="J484" s="36" t="s">
        <v>101</v>
      </c>
      <c r="K484" s="10" t="s">
        <v>559</v>
      </c>
      <c r="L484" s="10" t="s">
        <v>559</v>
      </c>
      <c r="M484" s="9" t="s">
        <v>100</v>
      </c>
      <c r="N484" s="10" t="s">
        <v>846</v>
      </c>
      <c r="O484" s="9" t="s">
        <v>100</v>
      </c>
      <c r="P484" s="10"/>
      <c r="Q484" s="10" t="s">
        <v>846</v>
      </c>
      <c r="R484" s="10" t="s">
        <v>119</v>
      </c>
      <c r="S484" s="10" t="s">
        <v>130</v>
      </c>
      <c r="T484" s="10" t="s">
        <v>120</v>
      </c>
      <c r="U484" s="10" t="s">
        <v>101</v>
      </c>
      <c r="V484" s="10" t="s">
        <v>121</v>
      </c>
      <c r="W484" s="10" t="s">
        <v>122</v>
      </c>
      <c r="X484" s="10" t="s">
        <v>123</v>
      </c>
      <c r="Y484" s="29">
        <v>1</v>
      </c>
      <c r="Z484" s="138" t="s">
        <v>849</v>
      </c>
      <c r="AA484" s="138">
        <v>45379</v>
      </c>
      <c r="AB484" s="9" t="s">
        <v>114</v>
      </c>
      <c r="AC484" s="9" t="s">
        <v>124</v>
      </c>
      <c r="AD484" s="15">
        <v>45382</v>
      </c>
      <c r="AE484" s="39" t="s">
        <v>125</v>
      </c>
      <c r="AF484" s="177">
        <v>5</v>
      </c>
      <c r="AG484" s="140">
        <v>0</v>
      </c>
      <c r="AH484" s="9">
        <v>0</v>
      </c>
      <c r="AI484" s="10" t="s">
        <v>126</v>
      </c>
      <c r="AJ484" s="10"/>
      <c r="AK484" s="29"/>
      <c r="AL484" s="12">
        <v>3.9917808219178079</v>
      </c>
      <c r="AM484" s="10">
        <v>0</v>
      </c>
      <c r="AN484" s="12">
        <f>FAR[[#This Row],[Opening RUL]]+FAR[[#This Row],[RUL Adjustment]]</f>
        <v>3.9917808219178079</v>
      </c>
      <c r="AO484" s="12">
        <f>FAR[[#This Row],[Opening RUL 30 June 2026]]-1</f>
        <v>2.9917808219178079</v>
      </c>
      <c r="AP484" s="12" t="s">
        <v>1050</v>
      </c>
      <c r="AQ484" s="139"/>
      <c r="AR484" s="10" t="s">
        <v>127</v>
      </c>
      <c r="AS484" s="13">
        <v>64300</v>
      </c>
      <c r="AT484" s="13"/>
      <c r="AU484" s="13"/>
      <c r="AV484" s="13"/>
      <c r="AW484" s="13"/>
      <c r="AX484" s="13">
        <v>64300</v>
      </c>
      <c r="AY484" s="13">
        <v>51334.301369863009</v>
      </c>
      <c r="AZ484" s="13">
        <v>0</v>
      </c>
      <c r="BA484" s="13"/>
      <c r="BB484" s="13"/>
      <c r="BC484" s="13">
        <v>-12965.698630136989</v>
      </c>
      <c r="BD484" s="13"/>
      <c r="BE484" s="13" t="s">
        <v>114</v>
      </c>
      <c r="BF484" s="29"/>
      <c r="BG484" s="13"/>
      <c r="BH484" s="13">
        <f>-FAR[[#This Row],[Carrying value (opening balance)]]/FAR[[#This Row],[Opening RUL 30 June 2026]]</f>
        <v>-12860</v>
      </c>
      <c r="BI484" s="13">
        <f>FAR[[#This Row],[Depreciation YTD]]/12</f>
        <v>-1071.6666666666667</v>
      </c>
      <c r="BJ484" s="13"/>
      <c r="BK484" s="13" t="s">
        <v>116</v>
      </c>
      <c r="BL484" s="13">
        <v>0</v>
      </c>
      <c r="BM484" s="13">
        <f>FAR[[#This Row],[Accumulated depreciation (Opening balance)]]+FAR[[#This Row],[Depreciation YTD]]+FAR[[#This Row],[Derecognitions (acc dep) '[+']]]</f>
        <v>-25825.698630136991</v>
      </c>
      <c r="BN484" s="13"/>
      <c r="BO484" s="13"/>
      <c r="BP484" s="13"/>
      <c r="BQ484" s="13"/>
      <c r="BR48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84" s="13">
        <f>FAR[[#This Row],[Cost Price (closing balance)]]+FAR[[#This Row],[Accumulated depreciation (Closing balance)]]+FAR[[#This Row],[Accumulated impairments (Closing balance)]]</f>
        <v>38474.301369863009</v>
      </c>
      <c r="BT484" s="13">
        <f>FAR[[#This Row],[Accumulated depreciation (Opening balance)]]</f>
        <v>-12965.698630136989</v>
      </c>
      <c r="BU484" s="13"/>
      <c r="BV484" s="13"/>
      <c r="BW484" s="10"/>
      <c r="BX484" s="9"/>
      <c r="BY484" s="10"/>
      <c r="BZ484" t="s">
        <v>1023</v>
      </c>
      <c r="CA484"/>
      <c r="CB484" s="34"/>
      <c r="CC484" s="34"/>
      <c r="CD484" s="34"/>
      <c r="CE484" s="141">
        <f>FAR[[#This Row],[Additions capitalised (@actual cost)]]/FAR[[#This Row],[EUL]]</f>
        <v>0</v>
      </c>
    </row>
    <row r="485" spans="1:83">
      <c r="A485" s="35">
        <v>1890</v>
      </c>
      <c r="B485" s="9" t="str">
        <f>VLOOKUP(FAR[[#This Row],[Component ID/ Bar code]],[3]nhc!$I$1:$P$686,8,0)</f>
        <v>R31</v>
      </c>
      <c r="C485" s="9" t="s">
        <v>54</v>
      </c>
      <c r="D485" s="10" t="s">
        <v>1</v>
      </c>
      <c r="E485" s="9" t="s">
        <v>115</v>
      </c>
      <c r="F485" s="36" t="s">
        <v>99</v>
      </c>
      <c r="G485" s="9" t="s">
        <v>100</v>
      </c>
      <c r="H485" s="3" t="s">
        <v>128</v>
      </c>
      <c r="I485" s="9" t="s">
        <v>100</v>
      </c>
      <c r="J485" s="36" t="s">
        <v>101</v>
      </c>
      <c r="K485" s="10" t="s">
        <v>559</v>
      </c>
      <c r="L485" s="10" t="s">
        <v>559</v>
      </c>
      <c r="M485" s="9" t="s">
        <v>100</v>
      </c>
      <c r="N485" s="10" t="s">
        <v>1055</v>
      </c>
      <c r="O485" s="9" t="s">
        <v>100</v>
      </c>
      <c r="P485" s="10"/>
      <c r="Q485" s="10" t="s">
        <v>1055</v>
      </c>
      <c r="R485" s="10" t="s">
        <v>119</v>
      </c>
      <c r="S485" s="10" t="s">
        <v>130</v>
      </c>
      <c r="T485" s="10" t="s">
        <v>120</v>
      </c>
      <c r="U485" s="10" t="s">
        <v>101</v>
      </c>
      <c r="V485" s="10" t="s">
        <v>121</v>
      </c>
      <c r="W485" s="10" t="s">
        <v>122</v>
      </c>
      <c r="X485" s="10" t="s">
        <v>123</v>
      </c>
      <c r="Y485" s="29">
        <v>1</v>
      </c>
      <c r="Z485" s="138" t="s">
        <v>1058</v>
      </c>
      <c r="AA485" s="138">
        <v>45217</v>
      </c>
      <c r="AB485" s="9" t="s">
        <v>114</v>
      </c>
      <c r="AC485" s="9" t="s">
        <v>124</v>
      </c>
      <c r="AD485" s="15">
        <v>45382</v>
      </c>
      <c r="AE485" s="39" t="s">
        <v>125</v>
      </c>
      <c r="AF485" s="177">
        <v>6</v>
      </c>
      <c r="AG485" s="140">
        <v>0</v>
      </c>
      <c r="AH485" s="9">
        <v>0</v>
      </c>
      <c r="AI485" s="10" t="s">
        <v>126</v>
      </c>
      <c r="AJ485" s="10"/>
      <c r="AK485" s="29"/>
      <c r="AL485" s="12">
        <v>4.5479452054794525</v>
      </c>
      <c r="AM485" s="10">
        <v>0</v>
      </c>
      <c r="AN485" s="12">
        <f>FAR[[#This Row],[Opening RUL]]+FAR[[#This Row],[RUL Adjustment]]</f>
        <v>4.5479452054794525</v>
      </c>
      <c r="AO485" s="12">
        <f>FAR[[#This Row],[Opening RUL 30 June 2026]]-1</f>
        <v>3.5479452054794525</v>
      </c>
      <c r="AP485" s="12" t="s">
        <v>1054</v>
      </c>
      <c r="AQ485" s="139"/>
      <c r="AR485" s="10" t="s">
        <v>127</v>
      </c>
      <c r="AS485" s="13">
        <v>5164.9951473607744</v>
      </c>
      <c r="AT485" s="13"/>
      <c r="AU485" s="13"/>
      <c r="AV485" s="13"/>
      <c r="AW485" s="13"/>
      <c r="AX485" s="13">
        <v>5164.9951473607744</v>
      </c>
      <c r="AY485" s="13">
        <v>3915.0191527940115</v>
      </c>
      <c r="AZ485" s="13">
        <v>0</v>
      </c>
      <c r="BA485" s="13"/>
      <c r="BB485" s="13"/>
      <c r="BC485" s="13">
        <v>-1249.9759945667627</v>
      </c>
      <c r="BD485" s="13"/>
      <c r="BE485" s="13" t="s">
        <v>114</v>
      </c>
      <c r="BF485" s="29"/>
      <c r="BG485" s="13"/>
      <c r="BH485" s="13">
        <f>-FAR[[#This Row],[Carrying value (opening balance)]]/FAR[[#This Row],[Opening RUL 30 June 2026]]</f>
        <v>-860.83252456012895</v>
      </c>
      <c r="BI485" s="13">
        <f>FAR[[#This Row],[Depreciation YTD]]/12</f>
        <v>-71.736043713344074</v>
      </c>
      <c r="BJ485" s="13"/>
      <c r="BK485" s="13" t="s">
        <v>116</v>
      </c>
      <c r="BL485" s="13">
        <v>0</v>
      </c>
      <c r="BM485" s="13">
        <f>FAR[[#This Row],[Accumulated depreciation (Opening balance)]]+FAR[[#This Row],[Depreciation YTD]]+FAR[[#This Row],[Derecognitions (acc dep) '[+']]]</f>
        <v>-2110.8085191268915</v>
      </c>
      <c r="BN485" s="13"/>
      <c r="BO485" s="13"/>
      <c r="BP485" s="13"/>
      <c r="BQ485" s="13"/>
      <c r="BR48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85" s="13">
        <f>FAR[[#This Row],[Cost Price (closing balance)]]+FAR[[#This Row],[Accumulated depreciation (Closing balance)]]+FAR[[#This Row],[Accumulated impairments (Closing balance)]]</f>
        <v>3054.1866282338829</v>
      </c>
      <c r="BT485" s="13">
        <f>FAR[[#This Row],[Accumulated depreciation (Opening balance)]]</f>
        <v>-1249.9759945667627</v>
      </c>
      <c r="BU485" s="13"/>
      <c r="BV485" s="13"/>
      <c r="BW485" s="10"/>
      <c r="BX485" s="9"/>
      <c r="BY485" s="10"/>
      <c r="BZ485"/>
      <c r="CA485"/>
      <c r="CB485" s="34"/>
      <c r="CC485" s="34"/>
      <c r="CD485" s="34"/>
      <c r="CE485" s="141">
        <f>FAR[[#This Row],[Additions capitalised (@actual cost)]]/FAR[[#This Row],[EUL]]</f>
        <v>0</v>
      </c>
    </row>
    <row r="486" spans="1:83">
      <c r="A486" s="35">
        <v>1888</v>
      </c>
      <c r="B486" s="9" t="str">
        <f>VLOOKUP(FAR[[#This Row],[Component ID/ Bar code]],[3]nhc!$I$1:$P$686,8,0)</f>
        <v>R31</v>
      </c>
      <c r="C486" s="9" t="s">
        <v>54</v>
      </c>
      <c r="D486" s="10" t="s">
        <v>1</v>
      </c>
      <c r="E486" s="9" t="s">
        <v>115</v>
      </c>
      <c r="F486" s="36" t="s">
        <v>99</v>
      </c>
      <c r="G486" s="9" t="s">
        <v>100</v>
      </c>
      <c r="H486" s="3" t="s">
        <v>128</v>
      </c>
      <c r="I486" s="9" t="s">
        <v>100</v>
      </c>
      <c r="J486" s="36" t="s">
        <v>101</v>
      </c>
      <c r="K486" s="10" t="s">
        <v>559</v>
      </c>
      <c r="L486" s="10" t="s">
        <v>559</v>
      </c>
      <c r="M486" s="9" t="s">
        <v>100</v>
      </c>
      <c r="N486" s="10" t="s">
        <v>1055</v>
      </c>
      <c r="O486" s="9" t="s">
        <v>100</v>
      </c>
      <c r="P486" s="10"/>
      <c r="Q486" s="10" t="s">
        <v>1055</v>
      </c>
      <c r="R486" s="10" t="s">
        <v>119</v>
      </c>
      <c r="S486" s="10" t="s">
        <v>130</v>
      </c>
      <c r="T486" s="10" t="s">
        <v>120</v>
      </c>
      <c r="U486" s="10" t="s">
        <v>101</v>
      </c>
      <c r="V486" s="10" t="s">
        <v>121</v>
      </c>
      <c r="W486" s="10" t="s">
        <v>122</v>
      </c>
      <c r="X486" s="10" t="s">
        <v>123</v>
      </c>
      <c r="Y486" s="29">
        <v>1</v>
      </c>
      <c r="Z486" s="138" t="s">
        <v>1058</v>
      </c>
      <c r="AA486" s="138">
        <v>45217</v>
      </c>
      <c r="AB486" s="9" t="s">
        <v>114</v>
      </c>
      <c r="AC486" s="9" t="s">
        <v>124</v>
      </c>
      <c r="AD486" s="15">
        <v>45382</v>
      </c>
      <c r="AE486" s="39" t="s">
        <v>125</v>
      </c>
      <c r="AF486" s="177">
        <v>6</v>
      </c>
      <c r="AG486" s="140">
        <v>0</v>
      </c>
      <c r="AH486" s="9">
        <v>0</v>
      </c>
      <c r="AI486" s="10" t="s">
        <v>126</v>
      </c>
      <c r="AJ486" s="10"/>
      <c r="AK486" s="29"/>
      <c r="AL486" s="12">
        <v>4.5479452054794525</v>
      </c>
      <c r="AM486" s="10">
        <v>0</v>
      </c>
      <c r="AN486" s="12">
        <f>FAR[[#This Row],[Opening RUL]]+FAR[[#This Row],[RUL Adjustment]]</f>
        <v>4.5479452054794525</v>
      </c>
      <c r="AO486" s="12">
        <f>FAR[[#This Row],[Opening RUL 30 June 2026]]-1</f>
        <v>3.5479452054794525</v>
      </c>
      <c r="AP486" s="12" t="s">
        <v>1059</v>
      </c>
      <c r="AQ486" s="139"/>
      <c r="AR486" s="10" t="s">
        <v>127</v>
      </c>
      <c r="AS486" s="13">
        <v>5164.9951473607744</v>
      </c>
      <c r="AT486" s="13"/>
      <c r="AU486" s="13"/>
      <c r="AV486" s="13"/>
      <c r="AW486" s="13"/>
      <c r="AX486" s="13">
        <v>5164.9951473607744</v>
      </c>
      <c r="AY486" s="13">
        <v>3915.0191527940115</v>
      </c>
      <c r="AZ486" s="13">
        <v>0</v>
      </c>
      <c r="BA486" s="13"/>
      <c r="BB486" s="13"/>
      <c r="BC486" s="13">
        <v>-1249.9759945667627</v>
      </c>
      <c r="BD486" s="13"/>
      <c r="BE486" s="13" t="s">
        <v>114</v>
      </c>
      <c r="BF486" s="29"/>
      <c r="BG486" s="13"/>
      <c r="BH486" s="13">
        <f>-FAR[[#This Row],[Carrying value (opening balance)]]/FAR[[#This Row],[Opening RUL 30 June 2026]]</f>
        <v>-860.83252456012895</v>
      </c>
      <c r="BI486" s="13">
        <f>FAR[[#This Row],[Depreciation YTD]]/12</f>
        <v>-71.736043713344074</v>
      </c>
      <c r="BJ486" s="13"/>
      <c r="BK486" s="13" t="s">
        <v>116</v>
      </c>
      <c r="BL486" s="13">
        <v>0</v>
      </c>
      <c r="BM486" s="13">
        <f>FAR[[#This Row],[Accumulated depreciation (Opening balance)]]+FAR[[#This Row],[Depreciation YTD]]+FAR[[#This Row],[Derecognitions (acc dep) '[+']]]</f>
        <v>-2110.8085191268915</v>
      </c>
      <c r="BN486" s="13"/>
      <c r="BO486" s="13"/>
      <c r="BP486" s="13"/>
      <c r="BQ486" s="13"/>
      <c r="BR48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86" s="13">
        <f>FAR[[#This Row],[Cost Price (closing balance)]]+FAR[[#This Row],[Accumulated depreciation (Closing balance)]]+FAR[[#This Row],[Accumulated impairments (Closing balance)]]</f>
        <v>3054.1866282338829</v>
      </c>
      <c r="BT486" s="13">
        <f>FAR[[#This Row],[Accumulated depreciation (Opening balance)]]</f>
        <v>-1249.9759945667627</v>
      </c>
      <c r="BU486" s="13"/>
      <c r="BV486" s="13"/>
      <c r="BW486" s="10"/>
      <c r="BX486" s="9"/>
      <c r="BY486" s="10"/>
      <c r="BZ486"/>
      <c r="CA486"/>
      <c r="CB486" s="34"/>
      <c r="CC486" s="34"/>
      <c r="CD486" s="34"/>
      <c r="CE486" s="141">
        <f>FAR[[#This Row],[Additions capitalised (@actual cost)]]/FAR[[#This Row],[EUL]]</f>
        <v>0</v>
      </c>
    </row>
    <row r="487" spans="1:83">
      <c r="A487" s="35">
        <v>1871</v>
      </c>
      <c r="B487" s="9" t="str">
        <f>VLOOKUP(FAR[[#This Row],[Component ID/ Bar code]],[3]nhc!$I$1:$P$686,8,0)</f>
        <v>R31</v>
      </c>
      <c r="C487" s="9" t="s">
        <v>54</v>
      </c>
      <c r="D487" s="10" t="s">
        <v>1</v>
      </c>
      <c r="E487" s="9" t="s">
        <v>115</v>
      </c>
      <c r="F487" s="36" t="s">
        <v>99</v>
      </c>
      <c r="G487" s="9" t="s">
        <v>100</v>
      </c>
      <c r="H487" s="3" t="s">
        <v>128</v>
      </c>
      <c r="I487" s="9" t="s">
        <v>100</v>
      </c>
      <c r="J487" s="36" t="s">
        <v>101</v>
      </c>
      <c r="K487" s="10" t="s">
        <v>559</v>
      </c>
      <c r="L487" s="10" t="s">
        <v>559</v>
      </c>
      <c r="M487" s="9" t="s">
        <v>100</v>
      </c>
      <c r="N487" s="10" t="s">
        <v>1055</v>
      </c>
      <c r="O487" s="9" t="s">
        <v>100</v>
      </c>
      <c r="P487" s="10"/>
      <c r="Q487" s="10" t="s">
        <v>1055</v>
      </c>
      <c r="R487" s="10" t="s">
        <v>119</v>
      </c>
      <c r="S487" s="10" t="s">
        <v>130</v>
      </c>
      <c r="T487" s="10" t="s">
        <v>120</v>
      </c>
      <c r="U487" s="10" t="s">
        <v>101</v>
      </c>
      <c r="V487" s="10" t="s">
        <v>121</v>
      </c>
      <c r="W487" s="10" t="s">
        <v>122</v>
      </c>
      <c r="X487" s="10" t="s">
        <v>123</v>
      </c>
      <c r="Y487" s="29">
        <v>1</v>
      </c>
      <c r="Z487" s="138" t="s">
        <v>1058</v>
      </c>
      <c r="AA487" s="138">
        <v>45217</v>
      </c>
      <c r="AB487" s="9" t="s">
        <v>114</v>
      </c>
      <c r="AC487" s="9" t="s">
        <v>124</v>
      </c>
      <c r="AD487" s="15">
        <v>45382</v>
      </c>
      <c r="AE487" s="39" t="s">
        <v>125</v>
      </c>
      <c r="AF487" s="177">
        <v>6</v>
      </c>
      <c r="AG487" s="140">
        <v>0</v>
      </c>
      <c r="AH487" s="9">
        <v>0</v>
      </c>
      <c r="AI487" s="10" t="s">
        <v>126</v>
      </c>
      <c r="AJ487" s="10"/>
      <c r="AK487" s="29"/>
      <c r="AL487" s="12">
        <v>4.5479452054794525</v>
      </c>
      <c r="AM487" s="10">
        <v>0</v>
      </c>
      <c r="AN487" s="12">
        <f>FAR[[#This Row],[Opening RUL]]+FAR[[#This Row],[RUL Adjustment]]</f>
        <v>4.5479452054794525</v>
      </c>
      <c r="AO487" s="12">
        <f>FAR[[#This Row],[Opening RUL 30 June 2026]]-1</f>
        <v>3.5479452054794525</v>
      </c>
      <c r="AP487" s="12" t="s">
        <v>1060</v>
      </c>
      <c r="AQ487" s="139"/>
      <c r="AR487" s="10" t="s">
        <v>127</v>
      </c>
      <c r="AS487" s="13">
        <v>5164.9951473607744</v>
      </c>
      <c r="AT487" s="13"/>
      <c r="AU487" s="13"/>
      <c r="AV487" s="13"/>
      <c r="AW487" s="13"/>
      <c r="AX487" s="13">
        <v>5164.9951473607744</v>
      </c>
      <c r="AY487" s="13">
        <v>3915.0191527940115</v>
      </c>
      <c r="AZ487" s="13">
        <v>0</v>
      </c>
      <c r="BA487" s="13"/>
      <c r="BB487" s="13"/>
      <c r="BC487" s="13">
        <v>-1249.9759945667627</v>
      </c>
      <c r="BD487" s="13"/>
      <c r="BE487" s="13" t="s">
        <v>114</v>
      </c>
      <c r="BF487" s="29"/>
      <c r="BG487" s="13"/>
      <c r="BH487" s="13">
        <f>-FAR[[#This Row],[Carrying value (opening balance)]]/FAR[[#This Row],[Opening RUL 30 June 2026]]</f>
        <v>-860.83252456012895</v>
      </c>
      <c r="BI487" s="13">
        <f>FAR[[#This Row],[Depreciation YTD]]/12</f>
        <v>-71.736043713344074</v>
      </c>
      <c r="BJ487" s="13"/>
      <c r="BK487" s="13" t="s">
        <v>116</v>
      </c>
      <c r="BL487" s="13">
        <v>0</v>
      </c>
      <c r="BM487" s="13">
        <f>FAR[[#This Row],[Accumulated depreciation (Opening balance)]]+FAR[[#This Row],[Depreciation YTD]]+FAR[[#This Row],[Derecognitions (acc dep) '[+']]]</f>
        <v>-2110.8085191268915</v>
      </c>
      <c r="BN487" s="13"/>
      <c r="BO487" s="13"/>
      <c r="BP487" s="13"/>
      <c r="BQ487" s="13"/>
      <c r="BR48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87" s="13">
        <f>FAR[[#This Row],[Cost Price (closing balance)]]+FAR[[#This Row],[Accumulated depreciation (Closing balance)]]+FAR[[#This Row],[Accumulated impairments (Closing balance)]]</f>
        <v>3054.1866282338829</v>
      </c>
      <c r="BT487" s="13">
        <f>FAR[[#This Row],[Accumulated depreciation (Opening balance)]]</f>
        <v>-1249.9759945667627</v>
      </c>
      <c r="BU487" s="13"/>
      <c r="BV487" s="13"/>
      <c r="BW487" s="10"/>
      <c r="BX487" s="9"/>
      <c r="BY487" s="10"/>
      <c r="BZ487"/>
      <c r="CA487"/>
      <c r="CB487" s="34"/>
      <c r="CC487" s="34"/>
      <c r="CD487" s="34"/>
      <c r="CE487" s="141">
        <f>FAR[[#This Row],[Additions capitalised (@actual cost)]]/FAR[[#This Row],[EUL]]</f>
        <v>0</v>
      </c>
    </row>
    <row r="488" spans="1:83">
      <c r="A488" s="35">
        <v>1805</v>
      </c>
      <c r="B488" s="9" t="str">
        <f>VLOOKUP(FAR[[#This Row],[Component ID/ Bar code]],[3]nhc!$I$1:$P$686,8,0)</f>
        <v>R31</v>
      </c>
      <c r="C488" s="9" t="s">
        <v>54</v>
      </c>
      <c r="D488" s="10" t="s">
        <v>1</v>
      </c>
      <c r="E488" s="9" t="s">
        <v>115</v>
      </c>
      <c r="F488" s="36" t="s">
        <v>99</v>
      </c>
      <c r="G488" s="9" t="s">
        <v>100</v>
      </c>
      <c r="H488" s="3" t="s">
        <v>128</v>
      </c>
      <c r="I488" s="9" t="s">
        <v>100</v>
      </c>
      <c r="J488" s="36" t="s">
        <v>101</v>
      </c>
      <c r="K488" s="10" t="s">
        <v>559</v>
      </c>
      <c r="L488" s="10" t="s">
        <v>559</v>
      </c>
      <c r="M488" s="9" t="s">
        <v>100</v>
      </c>
      <c r="N488" s="10" t="s">
        <v>1055</v>
      </c>
      <c r="O488" s="9" t="s">
        <v>100</v>
      </c>
      <c r="P488" s="10"/>
      <c r="Q488" s="10" t="s">
        <v>1055</v>
      </c>
      <c r="R488" s="10" t="s">
        <v>119</v>
      </c>
      <c r="S488" s="10" t="s">
        <v>130</v>
      </c>
      <c r="T488" s="10" t="s">
        <v>120</v>
      </c>
      <c r="U488" s="10" t="s">
        <v>101</v>
      </c>
      <c r="V488" s="10" t="s">
        <v>121</v>
      </c>
      <c r="W488" s="10" t="s">
        <v>122</v>
      </c>
      <c r="X488" s="10" t="s">
        <v>123</v>
      </c>
      <c r="Y488" s="29">
        <v>1</v>
      </c>
      <c r="Z488" s="138" t="s">
        <v>1058</v>
      </c>
      <c r="AA488" s="138">
        <v>45217</v>
      </c>
      <c r="AB488" s="9" t="s">
        <v>114</v>
      </c>
      <c r="AC488" s="9" t="s">
        <v>124</v>
      </c>
      <c r="AD488" s="15">
        <v>45382</v>
      </c>
      <c r="AE488" s="39" t="s">
        <v>125</v>
      </c>
      <c r="AF488" s="177">
        <v>6</v>
      </c>
      <c r="AG488" s="140">
        <v>0</v>
      </c>
      <c r="AH488" s="9">
        <v>0</v>
      </c>
      <c r="AI488" s="10" t="s">
        <v>126</v>
      </c>
      <c r="AJ488" s="10"/>
      <c r="AK488" s="29"/>
      <c r="AL488" s="12">
        <v>4.5479452054794525</v>
      </c>
      <c r="AM488" s="10">
        <v>0</v>
      </c>
      <c r="AN488" s="12">
        <f>FAR[[#This Row],[Opening RUL]]+FAR[[#This Row],[RUL Adjustment]]</f>
        <v>4.5479452054794525</v>
      </c>
      <c r="AO488" s="12">
        <f>FAR[[#This Row],[Opening RUL 30 June 2026]]-1</f>
        <v>3.5479452054794525</v>
      </c>
      <c r="AP488" s="12" t="s">
        <v>1061</v>
      </c>
      <c r="AQ488" s="139"/>
      <c r="AR488" s="10" t="s">
        <v>127</v>
      </c>
      <c r="AS488" s="13">
        <v>5164.9951473607744</v>
      </c>
      <c r="AT488" s="13"/>
      <c r="AU488" s="13"/>
      <c r="AV488" s="13"/>
      <c r="AW488" s="13"/>
      <c r="AX488" s="13">
        <v>5164.9951473607744</v>
      </c>
      <c r="AY488" s="13">
        <v>3915.0191527940115</v>
      </c>
      <c r="AZ488" s="13">
        <v>0</v>
      </c>
      <c r="BA488" s="13"/>
      <c r="BB488" s="13"/>
      <c r="BC488" s="13">
        <v>-1249.9759945667627</v>
      </c>
      <c r="BD488" s="13"/>
      <c r="BE488" s="13" t="s">
        <v>114</v>
      </c>
      <c r="BF488" s="29"/>
      <c r="BG488" s="13"/>
      <c r="BH488" s="13">
        <f>-FAR[[#This Row],[Carrying value (opening balance)]]/FAR[[#This Row],[Opening RUL 30 June 2026]]</f>
        <v>-860.83252456012895</v>
      </c>
      <c r="BI488" s="13">
        <f>FAR[[#This Row],[Depreciation YTD]]/12</f>
        <v>-71.736043713344074</v>
      </c>
      <c r="BJ488" s="13"/>
      <c r="BK488" s="13" t="s">
        <v>116</v>
      </c>
      <c r="BL488" s="13">
        <v>0</v>
      </c>
      <c r="BM488" s="13">
        <f>FAR[[#This Row],[Accumulated depreciation (Opening balance)]]+FAR[[#This Row],[Depreciation YTD]]+FAR[[#This Row],[Derecognitions (acc dep) '[+']]]</f>
        <v>-2110.8085191268915</v>
      </c>
      <c r="BN488" s="13"/>
      <c r="BO488" s="13"/>
      <c r="BP488" s="13"/>
      <c r="BQ488" s="13"/>
      <c r="BR48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88" s="13">
        <f>FAR[[#This Row],[Cost Price (closing balance)]]+FAR[[#This Row],[Accumulated depreciation (Closing balance)]]+FAR[[#This Row],[Accumulated impairments (Closing balance)]]</f>
        <v>3054.1866282338829</v>
      </c>
      <c r="BT488" s="13">
        <f>FAR[[#This Row],[Accumulated depreciation (Opening balance)]]</f>
        <v>-1249.9759945667627</v>
      </c>
      <c r="BU488" s="13"/>
      <c r="BV488" s="13"/>
      <c r="BW488" s="10"/>
      <c r="BX488" s="9"/>
      <c r="BY488" s="10"/>
      <c r="BZ488"/>
      <c r="CA488"/>
      <c r="CB488" s="34"/>
      <c r="CC488" s="34"/>
      <c r="CD488" s="34"/>
      <c r="CE488" s="141">
        <f>FAR[[#This Row],[Additions capitalised (@actual cost)]]/FAR[[#This Row],[EUL]]</f>
        <v>0</v>
      </c>
    </row>
    <row r="489" spans="1:83">
      <c r="A489" s="35">
        <v>1815</v>
      </c>
      <c r="B489" s="9" t="str">
        <f>VLOOKUP(FAR[[#This Row],[Component ID/ Bar code]],[3]nhc!$I$1:$P$686,8,0)</f>
        <v>R31</v>
      </c>
      <c r="C489" s="9" t="s">
        <v>54</v>
      </c>
      <c r="D489" s="10" t="s">
        <v>1</v>
      </c>
      <c r="E489" s="9" t="s">
        <v>115</v>
      </c>
      <c r="F489" s="36" t="s">
        <v>99</v>
      </c>
      <c r="G489" s="9" t="s">
        <v>100</v>
      </c>
      <c r="H489" s="3" t="s">
        <v>128</v>
      </c>
      <c r="I489" s="9" t="s">
        <v>100</v>
      </c>
      <c r="J489" s="36" t="s">
        <v>101</v>
      </c>
      <c r="K489" s="10" t="s">
        <v>559</v>
      </c>
      <c r="L489" s="10" t="s">
        <v>559</v>
      </c>
      <c r="M489" s="9" t="s">
        <v>100</v>
      </c>
      <c r="N489" s="10" t="s">
        <v>1055</v>
      </c>
      <c r="O489" s="9" t="s">
        <v>100</v>
      </c>
      <c r="P489" s="10"/>
      <c r="Q489" s="10" t="s">
        <v>1055</v>
      </c>
      <c r="R489" s="10" t="s">
        <v>119</v>
      </c>
      <c r="S489" s="10" t="s">
        <v>130</v>
      </c>
      <c r="T489" s="10" t="s">
        <v>120</v>
      </c>
      <c r="U489" s="10" t="s">
        <v>101</v>
      </c>
      <c r="V489" s="10" t="s">
        <v>121</v>
      </c>
      <c r="W489" s="10" t="s">
        <v>122</v>
      </c>
      <c r="X489" s="10" t="s">
        <v>123</v>
      </c>
      <c r="Y489" s="29">
        <v>1</v>
      </c>
      <c r="Z489" s="138" t="s">
        <v>1058</v>
      </c>
      <c r="AA489" s="138">
        <v>45217</v>
      </c>
      <c r="AB489" s="9" t="s">
        <v>114</v>
      </c>
      <c r="AC489" s="9" t="s">
        <v>124</v>
      </c>
      <c r="AD489" s="15">
        <v>45382</v>
      </c>
      <c r="AE489" s="39" t="s">
        <v>125</v>
      </c>
      <c r="AF489" s="177">
        <v>6</v>
      </c>
      <c r="AG489" s="140">
        <v>0</v>
      </c>
      <c r="AH489" s="9">
        <v>0</v>
      </c>
      <c r="AI489" s="10" t="s">
        <v>126</v>
      </c>
      <c r="AJ489" s="10"/>
      <c r="AK489" s="29"/>
      <c r="AL489" s="12">
        <v>4.5479452054794525</v>
      </c>
      <c r="AM489" s="10">
        <v>0</v>
      </c>
      <c r="AN489" s="12">
        <f>FAR[[#This Row],[Opening RUL]]+FAR[[#This Row],[RUL Adjustment]]</f>
        <v>4.5479452054794525</v>
      </c>
      <c r="AO489" s="12">
        <f>FAR[[#This Row],[Opening RUL 30 June 2026]]-1</f>
        <v>3.5479452054794525</v>
      </c>
      <c r="AP489" s="12" t="s">
        <v>1062</v>
      </c>
      <c r="AQ489" s="139"/>
      <c r="AR489" s="10" t="s">
        <v>127</v>
      </c>
      <c r="AS489" s="13">
        <v>5164.9951473607744</v>
      </c>
      <c r="AT489" s="13"/>
      <c r="AU489" s="13"/>
      <c r="AV489" s="13"/>
      <c r="AW489" s="13"/>
      <c r="AX489" s="13">
        <v>5164.9951473607744</v>
      </c>
      <c r="AY489" s="13">
        <v>3915.0191527940115</v>
      </c>
      <c r="AZ489" s="13">
        <v>0</v>
      </c>
      <c r="BA489" s="13"/>
      <c r="BB489" s="13"/>
      <c r="BC489" s="13">
        <v>-1249.9759945667627</v>
      </c>
      <c r="BD489" s="13"/>
      <c r="BE489" s="13" t="s">
        <v>114</v>
      </c>
      <c r="BF489" s="29"/>
      <c r="BG489" s="13"/>
      <c r="BH489" s="13">
        <f>-FAR[[#This Row],[Carrying value (opening balance)]]/FAR[[#This Row],[Opening RUL 30 June 2026]]</f>
        <v>-860.83252456012895</v>
      </c>
      <c r="BI489" s="13">
        <f>FAR[[#This Row],[Depreciation YTD]]/12</f>
        <v>-71.736043713344074</v>
      </c>
      <c r="BJ489" s="13"/>
      <c r="BK489" s="13" t="s">
        <v>116</v>
      </c>
      <c r="BL489" s="13">
        <v>0</v>
      </c>
      <c r="BM489" s="13">
        <f>FAR[[#This Row],[Accumulated depreciation (Opening balance)]]+FAR[[#This Row],[Depreciation YTD]]+FAR[[#This Row],[Derecognitions (acc dep) '[+']]]</f>
        <v>-2110.8085191268915</v>
      </c>
      <c r="BN489" s="13"/>
      <c r="BO489" s="13"/>
      <c r="BP489" s="13"/>
      <c r="BQ489" s="13"/>
      <c r="BR48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89" s="13">
        <f>FAR[[#This Row],[Cost Price (closing balance)]]+FAR[[#This Row],[Accumulated depreciation (Closing balance)]]+FAR[[#This Row],[Accumulated impairments (Closing balance)]]</f>
        <v>3054.1866282338829</v>
      </c>
      <c r="BT489" s="13">
        <f>FAR[[#This Row],[Accumulated depreciation (Opening balance)]]</f>
        <v>-1249.9759945667627</v>
      </c>
      <c r="BU489" s="13"/>
      <c r="BV489" s="13"/>
      <c r="BW489" s="10"/>
      <c r="BX489" s="9"/>
      <c r="BY489" s="10"/>
      <c r="BZ489"/>
      <c r="CA489"/>
      <c r="CB489" s="34"/>
      <c r="CC489" s="34"/>
      <c r="CD489" s="34"/>
      <c r="CE489" s="141">
        <f>FAR[[#This Row],[Additions capitalised (@actual cost)]]/FAR[[#This Row],[EUL]]</f>
        <v>0</v>
      </c>
    </row>
    <row r="490" spans="1:83">
      <c r="A490" s="35">
        <v>1842</v>
      </c>
      <c r="B490" s="9">
        <v>31</v>
      </c>
      <c r="C490" s="9" t="s">
        <v>54</v>
      </c>
      <c r="D490" s="10" t="s">
        <v>1</v>
      </c>
      <c r="E490" s="9" t="s">
        <v>115</v>
      </c>
      <c r="F490" s="36" t="s">
        <v>99</v>
      </c>
      <c r="G490" s="9" t="s">
        <v>100</v>
      </c>
      <c r="H490" s="3" t="s">
        <v>128</v>
      </c>
      <c r="I490" s="9" t="s">
        <v>100</v>
      </c>
      <c r="J490" s="36" t="s">
        <v>101</v>
      </c>
      <c r="K490" s="10" t="s">
        <v>559</v>
      </c>
      <c r="L490" s="10" t="s">
        <v>559</v>
      </c>
      <c r="M490" s="9" t="s">
        <v>100</v>
      </c>
      <c r="N490" s="10" t="s">
        <v>1055</v>
      </c>
      <c r="O490" s="9" t="s">
        <v>100</v>
      </c>
      <c r="P490" s="10"/>
      <c r="Q490" s="10" t="s">
        <v>1055</v>
      </c>
      <c r="R490" s="10" t="s">
        <v>119</v>
      </c>
      <c r="S490" s="10" t="s">
        <v>130</v>
      </c>
      <c r="T490" s="10" t="s">
        <v>120</v>
      </c>
      <c r="U490" s="10" t="s">
        <v>101</v>
      </c>
      <c r="V490" s="10" t="s">
        <v>121</v>
      </c>
      <c r="W490" s="10" t="s">
        <v>122</v>
      </c>
      <c r="X490" s="10" t="s">
        <v>123</v>
      </c>
      <c r="Y490" s="29">
        <v>1</v>
      </c>
      <c r="Z490" s="138" t="s">
        <v>1058</v>
      </c>
      <c r="AA490" s="138">
        <v>45217</v>
      </c>
      <c r="AB490" s="9" t="s">
        <v>114</v>
      </c>
      <c r="AC490" s="9" t="s">
        <v>124</v>
      </c>
      <c r="AD490" s="15">
        <v>45382</v>
      </c>
      <c r="AE490" s="39" t="s">
        <v>125</v>
      </c>
      <c r="AF490" s="177">
        <v>6</v>
      </c>
      <c r="AG490" s="140">
        <v>0</v>
      </c>
      <c r="AH490" s="9">
        <v>0</v>
      </c>
      <c r="AI490" s="10" t="s">
        <v>126</v>
      </c>
      <c r="AJ490" s="10"/>
      <c r="AK490" s="29"/>
      <c r="AL490" s="12">
        <v>4.5479452054794525</v>
      </c>
      <c r="AM490" s="10">
        <v>0</v>
      </c>
      <c r="AN490" s="12">
        <f>FAR[[#This Row],[Opening RUL]]+FAR[[#This Row],[RUL Adjustment]]</f>
        <v>4.5479452054794525</v>
      </c>
      <c r="AO490" s="12">
        <f>FAR[[#This Row],[Opening RUL 30 June 2026]]-1</f>
        <v>3.5479452054794525</v>
      </c>
      <c r="AP490" s="12" t="s">
        <v>1063</v>
      </c>
      <c r="AQ490" s="139"/>
      <c r="AR490" s="10" t="s">
        <v>127</v>
      </c>
      <c r="AS490" s="13">
        <v>5164.9951473607744</v>
      </c>
      <c r="AT490" s="13"/>
      <c r="AU490" s="13"/>
      <c r="AV490" s="13"/>
      <c r="AW490" s="13"/>
      <c r="AX490" s="13">
        <v>5164.9951473607744</v>
      </c>
      <c r="AY490" s="13">
        <v>3915.0191527940115</v>
      </c>
      <c r="AZ490" s="13">
        <v>0</v>
      </c>
      <c r="BA490" s="13"/>
      <c r="BB490" s="13"/>
      <c r="BC490" s="13">
        <v>-1249.9759945667627</v>
      </c>
      <c r="BD490" s="13"/>
      <c r="BE490" s="13" t="s">
        <v>114</v>
      </c>
      <c r="BF490" s="29"/>
      <c r="BG490" s="13"/>
      <c r="BH490" s="13">
        <f>-FAR[[#This Row],[Carrying value (opening balance)]]/FAR[[#This Row],[Opening RUL 30 June 2026]]</f>
        <v>-860.83252456012895</v>
      </c>
      <c r="BI490" s="13">
        <f>FAR[[#This Row],[Depreciation YTD]]/12</f>
        <v>-71.736043713344074</v>
      </c>
      <c r="BJ490" s="13"/>
      <c r="BK490" s="13" t="s">
        <v>116</v>
      </c>
      <c r="BL490" s="13">
        <v>0</v>
      </c>
      <c r="BM490" s="13">
        <f>FAR[[#This Row],[Accumulated depreciation (Opening balance)]]+FAR[[#This Row],[Depreciation YTD]]+FAR[[#This Row],[Derecognitions (acc dep) '[+']]]</f>
        <v>-2110.8085191268915</v>
      </c>
      <c r="BN490" s="13"/>
      <c r="BO490" s="13"/>
      <c r="BP490" s="13"/>
      <c r="BQ490" s="13"/>
      <c r="BR49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90" s="13">
        <f>FAR[[#This Row],[Cost Price (closing balance)]]+FAR[[#This Row],[Accumulated depreciation (Closing balance)]]+FAR[[#This Row],[Accumulated impairments (Closing balance)]]</f>
        <v>3054.1866282338829</v>
      </c>
      <c r="BT490" s="13">
        <f>FAR[[#This Row],[Accumulated depreciation (Opening balance)]]</f>
        <v>-1249.9759945667627</v>
      </c>
      <c r="BU490" s="13"/>
      <c r="BV490" s="13"/>
      <c r="BW490" s="10"/>
      <c r="BX490" s="9"/>
      <c r="BY490" s="10"/>
      <c r="BZ490"/>
      <c r="CA490"/>
      <c r="CB490" s="34"/>
      <c r="CC490" s="34"/>
      <c r="CD490" s="34"/>
      <c r="CE490" s="141">
        <f>FAR[[#This Row],[Additions capitalised (@actual cost)]]/FAR[[#This Row],[EUL]]</f>
        <v>0</v>
      </c>
    </row>
    <row r="491" spans="1:83">
      <c r="A491" s="35">
        <v>1839</v>
      </c>
      <c r="B491" s="9" t="str">
        <f>VLOOKUP(FAR[[#This Row],[Component ID/ Bar code]],[3]nhc!$I$1:$P$686,8,0)</f>
        <v>R31</v>
      </c>
      <c r="C491" s="9" t="s">
        <v>54</v>
      </c>
      <c r="D491" s="10" t="s">
        <v>1</v>
      </c>
      <c r="E491" s="9" t="s">
        <v>115</v>
      </c>
      <c r="F491" s="36" t="s">
        <v>99</v>
      </c>
      <c r="G491" s="9" t="s">
        <v>100</v>
      </c>
      <c r="H491" s="3" t="s">
        <v>128</v>
      </c>
      <c r="I491" s="9" t="s">
        <v>100</v>
      </c>
      <c r="J491" s="36" t="s">
        <v>101</v>
      </c>
      <c r="K491" s="10" t="s">
        <v>559</v>
      </c>
      <c r="L491" s="10" t="s">
        <v>559</v>
      </c>
      <c r="M491" s="9" t="s">
        <v>100</v>
      </c>
      <c r="N491" s="10" t="s">
        <v>1056</v>
      </c>
      <c r="O491" s="9" t="s">
        <v>100</v>
      </c>
      <c r="P491" s="10"/>
      <c r="Q491" s="10" t="s">
        <v>1056</v>
      </c>
      <c r="R491" s="10" t="s">
        <v>119</v>
      </c>
      <c r="S491" s="10" t="s">
        <v>130</v>
      </c>
      <c r="T491" s="10" t="s">
        <v>120</v>
      </c>
      <c r="U491" s="10" t="s">
        <v>101</v>
      </c>
      <c r="V491" s="10" t="s">
        <v>121</v>
      </c>
      <c r="W491" s="10" t="s">
        <v>122</v>
      </c>
      <c r="X491" s="10" t="s">
        <v>123</v>
      </c>
      <c r="Y491" s="29">
        <v>1</v>
      </c>
      <c r="Z491" s="138" t="s">
        <v>1058</v>
      </c>
      <c r="AA491" s="138">
        <v>45217</v>
      </c>
      <c r="AB491" s="9" t="s">
        <v>114</v>
      </c>
      <c r="AC491" s="9" t="s">
        <v>124</v>
      </c>
      <c r="AD491" s="15">
        <v>45382</v>
      </c>
      <c r="AE491" s="39" t="s">
        <v>125</v>
      </c>
      <c r="AF491" s="177">
        <v>6</v>
      </c>
      <c r="AG491" s="140">
        <v>0</v>
      </c>
      <c r="AH491" s="9">
        <v>0</v>
      </c>
      <c r="AI491" s="10" t="s">
        <v>126</v>
      </c>
      <c r="AJ491" s="10"/>
      <c r="AK491" s="29"/>
      <c r="AL491" s="12">
        <v>4.5479452054794525</v>
      </c>
      <c r="AM491" s="10">
        <v>0</v>
      </c>
      <c r="AN491" s="12">
        <f>FAR[[#This Row],[Opening RUL]]+FAR[[#This Row],[RUL Adjustment]]</f>
        <v>4.5479452054794525</v>
      </c>
      <c r="AO491" s="12">
        <f>FAR[[#This Row],[Opening RUL 30 June 2026]]-1</f>
        <v>3.5479452054794525</v>
      </c>
      <c r="AP491" s="12" t="s">
        <v>1064</v>
      </c>
      <c r="AQ491" s="139"/>
      <c r="AR491" s="10" t="s">
        <v>127</v>
      </c>
      <c r="AS491" s="13">
        <v>8644.9987466476105</v>
      </c>
      <c r="AT491" s="13"/>
      <c r="AU491" s="13"/>
      <c r="AV491" s="13"/>
      <c r="AW491" s="13"/>
      <c r="AX491" s="13">
        <v>8644.9987466476105</v>
      </c>
      <c r="AY491" s="13">
        <v>6552.8301001986456</v>
      </c>
      <c r="AZ491" s="13">
        <v>0</v>
      </c>
      <c r="BA491" s="13"/>
      <c r="BB491" s="13"/>
      <c r="BC491" s="13">
        <v>-2092.1686464489649</v>
      </c>
      <c r="BD491" s="13"/>
      <c r="BE491" s="13" t="s">
        <v>114</v>
      </c>
      <c r="BF491" s="29"/>
      <c r="BG491" s="13"/>
      <c r="BH491" s="13">
        <f>-FAR[[#This Row],[Carrying value (opening balance)]]/FAR[[#This Row],[Opening RUL 30 June 2026]]</f>
        <v>-1440.8331244412684</v>
      </c>
      <c r="BI491" s="13">
        <f>FAR[[#This Row],[Depreciation YTD]]/12</f>
        <v>-120.06942703677237</v>
      </c>
      <c r="BJ491" s="13"/>
      <c r="BK491" s="13" t="s">
        <v>116</v>
      </c>
      <c r="BL491" s="13">
        <v>0</v>
      </c>
      <c r="BM491" s="13">
        <f>FAR[[#This Row],[Accumulated depreciation (Opening balance)]]+FAR[[#This Row],[Depreciation YTD]]+FAR[[#This Row],[Derecognitions (acc dep) '[+']]]</f>
        <v>-3533.0017708902333</v>
      </c>
      <c r="BN491" s="13"/>
      <c r="BO491" s="13"/>
      <c r="BP491" s="13"/>
      <c r="BQ491" s="13"/>
      <c r="BR49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91" s="13">
        <f>FAR[[#This Row],[Cost Price (closing balance)]]+FAR[[#This Row],[Accumulated depreciation (Closing balance)]]+FAR[[#This Row],[Accumulated impairments (Closing balance)]]</f>
        <v>5111.9969757573772</v>
      </c>
      <c r="BT491" s="13">
        <f>FAR[[#This Row],[Accumulated depreciation (Opening balance)]]</f>
        <v>-2092.1686464489649</v>
      </c>
      <c r="BU491" s="13"/>
      <c r="BV491" s="13"/>
      <c r="BW491" s="10"/>
      <c r="BX491" s="9"/>
      <c r="BY491" s="10"/>
      <c r="BZ491"/>
      <c r="CA491"/>
      <c r="CB491" s="34"/>
      <c r="CC491" s="34"/>
      <c r="CD491" s="34"/>
      <c r="CE491" s="141">
        <f>FAR[[#This Row],[Additions capitalised (@actual cost)]]/FAR[[#This Row],[EUL]]</f>
        <v>0</v>
      </c>
    </row>
    <row r="492" spans="1:83">
      <c r="A492" s="35">
        <v>1846</v>
      </c>
      <c r="B492" s="9" t="str">
        <f>VLOOKUP(FAR[[#This Row],[Component ID/ Bar code]],[3]nhc!$I$1:$P$686,8,0)</f>
        <v>R31</v>
      </c>
      <c r="C492" s="9" t="s">
        <v>54</v>
      </c>
      <c r="D492" s="10" t="s">
        <v>1</v>
      </c>
      <c r="E492" s="9" t="s">
        <v>115</v>
      </c>
      <c r="F492" s="36" t="s">
        <v>99</v>
      </c>
      <c r="G492" s="9" t="s">
        <v>100</v>
      </c>
      <c r="H492" s="3" t="s">
        <v>128</v>
      </c>
      <c r="I492" s="9" t="s">
        <v>100</v>
      </c>
      <c r="J492" s="36" t="s">
        <v>101</v>
      </c>
      <c r="K492" s="10" t="s">
        <v>559</v>
      </c>
      <c r="L492" s="10" t="s">
        <v>559</v>
      </c>
      <c r="M492" s="9" t="s">
        <v>100</v>
      </c>
      <c r="N492" s="10" t="s">
        <v>1056</v>
      </c>
      <c r="O492" s="9" t="s">
        <v>100</v>
      </c>
      <c r="P492" s="10"/>
      <c r="Q492" s="10" t="s">
        <v>1056</v>
      </c>
      <c r="R492" s="10" t="s">
        <v>119</v>
      </c>
      <c r="S492" s="10" t="s">
        <v>130</v>
      </c>
      <c r="T492" s="10" t="s">
        <v>120</v>
      </c>
      <c r="U492" s="10" t="s">
        <v>101</v>
      </c>
      <c r="V492" s="10" t="s">
        <v>121</v>
      </c>
      <c r="W492" s="10" t="s">
        <v>122</v>
      </c>
      <c r="X492" s="10" t="s">
        <v>123</v>
      </c>
      <c r="Y492" s="29">
        <v>1</v>
      </c>
      <c r="Z492" s="138" t="s">
        <v>1058</v>
      </c>
      <c r="AA492" s="138">
        <v>45217</v>
      </c>
      <c r="AB492" s="9" t="s">
        <v>114</v>
      </c>
      <c r="AC492" s="9" t="s">
        <v>124</v>
      </c>
      <c r="AD492" s="15">
        <v>45382</v>
      </c>
      <c r="AE492" s="39" t="s">
        <v>125</v>
      </c>
      <c r="AF492" s="177">
        <v>6</v>
      </c>
      <c r="AG492" s="140">
        <v>0</v>
      </c>
      <c r="AH492" s="9">
        <v>0</v>
      </c>
      <c r="AI492" s="10" t="s">
        <v>126</v>
      </c>
      <c r="AJ492" s="10"/>
      <c r="AK492" s="29"/>
      <c r="AL492" s="12">
        <v>4.5479452054794525</v>
      </c>
      <c r="AM492" s="10">
        <v>0</v>
      </c>
      <c r="AN492" s="12">
        <f>FAR[[#This Row],[Opening RUL]]+FAR[[#This Row],[RUL Adjustment]]</f>
        <v>4.5479452054794525</v>
      </c>
      <c r="AO492" s="12">
        <f>FAR[[#This Row],[Opening RUL 30 June 2026]]-1</f>
        <v>3.5479452054794525</v>
      </c>
      <c r="AP492" s="12" t="s">
        <v>1065</v>
      </c>
      <c r="AQ492" s="139"/>
      <c r="AR492" s="10" t="s">
        <v>127</v>
      </c>
      <c r="AS492" s="13">
        <v>8644.9987466476105</v>
      </c>
      <c r="AT492" s="13"/>
      <c r="AU492" s="13"/>
      <c r="AV492" s="13"/>
      <c r="AW492" s="13"/>
      <c r="AX492" s="13">
        <v>8644.9987466476105</v>
      </c>
      <c r="AY492" s="13">
        <v>6552.8301001986456</v>
      </c>
      <c r="AZ492" s="13">
        <v>0</v>
      </c>
      <c r="BA492" s="13"/>
      <c r="BB492" s="13"/>
      <c r="BC492" s="13">
        <v>-2092.1686464489649</v>
      </c>
      <c r="BD492" s="13"/>
      <c r="BE492" s="13" t="s">
        <v>114</v>
      </c>
      <c r="BF492" s="29"/>
      <c r="BG492" s="13"/>
      <c r="BH492" s="13">
        <f>-FAR[[#This Row],[Carrying value (opening balance)]]/FAR[[#This Row],[Opening RUL 30 June 2026]]</f>
        <v>-1440.8331244412684</v>
      </c>
      <c r="BI492" s="13">
        <f>FAR[[#This Row],[Depreciation YTD]]/12</f>
        <v>-120.06942703677237</v>
      </c>
      <c r="BJ492" s="13"/>
      <c r="BK492" s="13" t="s">
        <v>116</v>
      </c>
      <c r="BL492" s="13">
        <v>0</v>
      </c>
      <c r="BM492" s="13">
        <f>FAR[[#This Row],[Accumulated depreciation (Opening balance)]]+FAR[[#This Row],[Depreciation YTD]]+FAR[[#This Row],[Derecognitions (acc dep) '[+']]]</f>
        <v>-3533.0017708902333</v>
      </c>
      <c r="BN492" s="13"/>
      <c r="BO492" s="13"/>
      <c r="BP492" s="13"/>
      <c r="BQ492" s="13"/>
      <c r="BR49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92" s="13">
        <f>FAR[[#This Row],[Cost Price (closing balance)]]+FAR[[#This Row],[Accumulated depreciation (Closing balance)]]+FAR[[#This Row],[Accumulated impairments (Closing balance)]]</f>
        <v>5111.9969757573772</v>
      </c>
      <c r="BT492" s="13">
        <f>FAR[[#This Row],[Accumulated depreciation (Opening balance)]]</f>
        <v>-2092.1686464489649</v>
      </c>
      <c r="BU492" s="13"/>
      <c r="BV492" s="13"/>
      <c r="BW492" s="10"/>
      <c r="BX492" s="9"/>
      <c r="BY492" s="10"/>
      <c r="BZ492"/>
      <c r="CA492"/>
      <c r="CB492" s="34"/>
      <c r="CC492" s="34"/>
      <c r="CD492" s="34"/>
      <c r="CE492" s="141">
        <f>FAR[[#This Row],[Additions capitalised (@actual cost)]]/FAR[[#This Row],[EUL]]</f>
        <v>0</v>
      </c>
    </row>
    <row r="493" spans="1:83">
      <c r="A493" s="35">
        <v>1898</v>
      </c>
      <c r="B493" s="9" t="str">
        <f>VLOOKUP(FAR[[#This Row],[Component ID/ Bar code]],[3]nhc!$I$1:$P$686,8,0)</f>
        <v>R29</v>
      </c>
      <c r="C493" s="9" t="s">
        <v>54</v>
      </c>
      <c r="D493" s="10" t="s">
        <v>1</v>
      </c>
      <c r="E493" s="9" t="s">
        <v>115</v>
      </c>
      <c r="F493" s="36" t="s">
        <v>99</v>
      </c>
      <c r="G493" s="9" t="s">
        <v>100</v>
      </c>
      <c r="H493" s="3" t="s">
        <v>128</v>
      </c>
      <c r="I493" s="9" t="s">
        <v>100</v>
      </c>
      <c r="J493" s="36" t="s">
        <v>101</v>
      </c>
      <c r="K493" s="10" t="s">
        <v>559</v>
      </c>
      <c r="L493" s="10" t="s">
        <v>559</v>
      </c>
      <c r="M493" s="9" t="s">
        <v>100</v>
      </c>
      <c r="N493" s="10" t="s">
        <v>1056</v>
      </c>
      <c r="O493" s="9" t="s">
        <v>100</v>
      </c>
      <c r="P493" s="10"/>
      <c r="Q493" s="10" t="s">
        <v>1056</v>
      </c>
      <c r="R493" s="10" t="s">
        <v>119</v>
      </c>
      <c r="S493" s="10" t="s">
        <v>130</v>
      </c>
      <c r="T493" s="10" t="s">
        <v>120</v>
      </c>
      <c r="U493" s="10" t="s">
        <v>101</v>
      </c>
      <c r="V493" s="10" t="s">
        <v>121</v>
      </c>
      <c r="W493" s="10" t="s">
        <v>122</v>
      </c>
      <c r="X493" s="10" t="s">
        <v>123</v>
      </c>
      <c r="Y493" s="29">
        <v>1</v>
      </c>
      <c r="Z493" s="138" t="s">
        <v>1058</v>
      </c>
      <c r="AA493" s="138">
        <v>45217</v>
      </c>
      <c r="AB493" s="9" t="s">
        <v>114</v>
      </c>
      <c r="AC493" s="9" t="s">
        <v>124</v>
      </c>
      <c r="AD493" s="15">
        <v>45382</v>
      </c>
      <c r="AE493" s="39" t="s">
        <v>125</v>
      </c>
      <c r="AF493" s="177">
        <v>6</v>
      </c>
      <c r="AG493" s="140">
        <v>0</v>
      </c>
      <c r="AH493" s="9">
        <v>0</v>
      </c>
      <c r="AI493" s="10" t="s">
        <v>126</v>
      </c>
      <c r="AJ493" s="10"/>
      <c r="AK493" s="29"/>
      <c r="AL493" s="12">
        <v>4.5479452054794525</v>
      </c>
      <c r="AM493" s="10">
        <v>0</v>
      </c>
      <c r="AN493" s="12">
        <f>FAR[[#This Row],[Opening RUL]]+FAR[[#This Row],[RUL Adjustment]]</f>
        <v>4.5479452054794525</v>
      </c>
      <c r="AO493" s="12">
        <f>FAR[[#This Row],[Opening RUL 30 June 2026]]-1</f>
        <v>3.5479452054794525</v>
      </c>
      <c r="AP493" s="12" t="s">
        <v>1066</v>
      </c>
      <c r="AQ493" s="139"/>
      <c r="AR493" s="10" t="s">
        <v>127</v>
      </c>
      <c r="AS493" s="13">
        <v>8644.9987466476105</v>
      </c>
      <c r="AT493" s="13"/>
      <c r="AU493" s="13"/>
      <c r="AV493" s="13"/>
      <c r="AW493" s="13"/>
      <c r="AX493" s="13">
        <v>8644.9987466476105</v>
      </c>
      <c r="AY493" s="13">
        <v>6552.8301001986456</v>
      </c>
      <c r="AZ493" s="13">
        <v>0</v>
      </c>
      <c r="BA493" s="13"/>
      <c r="BB493" s="13"/>
      <c r="BC493" s="13">
        <v>-2092.1686464489649</v>
      </c>
      <c r="BD493" s="13"/>
      <c r="BE493" s="13" t="s">
        <v>114</v>
      </c>
      <c r="BF493" s="29"/>
      <c r="BG493" s="13"/>
      <c r="BH493" s="13">
        <f>-FAR[[#This Row],[Carrying value (opening balance)]]/FAR[[#This Row],[Opening RUL 30 June 2026]]</f>
        <v>-1440.8331244412684</v>
      </c>
      <c r="BI493" s="13">
        <f>FAR[[#This Row],[Depreciation YTD]]/12</f>
        <v>-120.06942703677237</v>
      </c>
      <c r="BJ493" s="13"/>
      <c r="BK493" s="13" t="s">
        <v>116</v>
      </c>
      <c r="BL493" s="13">
        <v>0</v>
      </c>
      <c r="BM493" s="13">
        <f>FAR[[#This Row],[Accumulated depreciation (Opening balance)]]+FAR[[#This Row],[Depreciation YTD]]+FAR[[#This Row],[Derecognitions (acc dep) '[+']]]</f>
        <v>-3533.0017708902333</v>
      </c>
      <c r="BN493" s="13"/>
      <c r="BO493" s="13"/>
      <c r="BP493" s="13"/>
      <c r="BQ493" s="13"/>
      <c r="BR49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93" s="13">
        <f>FAR[[#This Row],[Cost Price (closing balance)]]+FAR[[#This Row],[Accumulated depreciation (Closing balance)]]+FAR[[#This Row],[Accumulated impairments (Closing balance)]]</f>
        <v>5111.9969757573772</v>
      </c>
      <c r="BT493" s="13">
        <f>FAR[[#This Row],[Accumulated depreciation (Opening balance)]]</f>
        <v>-2092.1686464489649</v>
      </c>
      <c r="BU493" s="13"/>
      <c r="BV493" s="13"/>
      <c r="BW493" s="10"/>
      <c r="BX493" s="9"/>
      <c r="BY493" s="10"/>
      <c r="BZ493"/>
      <c r="CA493"/>
      <c r="CB493" s="34"/>
      <c r="CC493" s="34"/>
      <c r="CD493" s="34"/>
      <c r="CE493" s="141">
        <f>FAR[[#This Row],[Additions capitalised (@actual cost)]]/FAR[[#This Row],[EUL]]</f>
        <v>0</v>
      </c>
    </row>
    <row r="494" spans="1:83">
      <c r="A494" s="35">
        <v>1835</v>
      </c>
      <c r="B494" s="9" t="str">
        <f>VLOOKUP(FAR[[#This Row],[Component ID/ Bar code]],[3]nhc!$I$1:$P$686,8,0)</f>
        <v>R29</v>
      </c>
      <c r="C494" s="9" t="s">
        <v>54</v>
      </c>
      <c r="D494" s="10" t="s">
        <v>1</v>
      </c>
      <c r="E494" s="9" t="s">
        <v>115</v>
      </c>
      <c r="F494" s="36" t="s">
        <v>99</v>
      </c>
      <c r="G494" s="9" t="s">
        <v>100</v>
      </c>
      <c r="H494" s="3" t="s">
        <v>128</v>
      </c>
      <c r="I494" s="9" t="s">
        <v>100</v>
      </c>
      <c r="J494" s="36" t="s">
        <v>101</v>
      </c>
      <c r="K494" s="10" t="s">
        <v>559</v>
      </c>
      <c r="L494" s="10" t="s">
        <v>559</v>
      </c>
      <c r="M494" s="9" t="s">
        <v>100</v>
      </c>
      <c r="N494" s="10" t="s">
        <v>1056</v>
      </c>
      <c r="O494" s="9" t="s">
        <v>100</v>
      </c>
      <c r="P494" s="10"/>
      <c r="Q494" s="10" t="s">
        <v>1056</v>
      </c>
      <c r="R494" s="10" t="s">
        <v>119</v>
      </c>
      <c r="S494" s="10" t="s">
        <v>130</v>
      </c>
      <c r="T494" s="10" t="s">
        <v>120</v>
      </c>
      <c r="U494" s="10" t="s">
        <v>101</v>
      </c>
      <c r="V494" s="10" t="s">
        <v>121</v>
      </c>
      <c r="W494" s="10" t="s">
        <v>122</v>
      </c>
      <c r="X494" s="10" t="s">
        <v>123</v>
      </c>
      <c r="Y494" s="29">
        <v>1</v>
      </c>
      <c r="Z494" s="138" t="s">
        <v>1058</v>
      </c>
      <c r="AA494" s="138">
        <v>45217</v>
      </c>
      <c r="AB494" s="9" t="s">
        <v>114</v>
      </c>
      <c r="AC494" s="9" t="s">
        <v>124</v>
      </c>
      <c r="AD494" s="15">
        <v>45382</v>
      </c>
      <c r="AE494" s="39" t="s">
        <v>125</v>
      </c>
      <c r="AF494" s="177">
        <v>6</v>
      </c>
      <c r="AG494" s="140">
        <v>0</v>
      </c>
      <c r="AH494" s="9">
        <v>0</v>
      </c>
      <c r="AI494" s="10" t="s">
        <v>126</v>
      </c>
      <c r="AJ494" s="10"/>
      <c r="AK494" s="29"/>
      <c r="AL494" s="12">
        <v>4.5479452054794525</v>
      </c>
      <c r="AM494" s="10">
        <v>0</v>
      </c>
      <c r="AN494" s="12">
        <f>FAR[[#This Row],[Opening RUL]]+FAR[[#This Row],[RUL Adjustment]]</f>
        <v>4.5479452054794525</v>
      </c>
      <c r="AO494" s="12">
        <f>FAR[[#This Row],[Opening RUL 30 June 2026]]-1</f>
        <v>3.5479452054794525</v>
      </c>
      <c r="AP494" s="12" t="s">
        <v>1067</v>
      </c>
      <c r="AQ494" s="139"/>
      <c r="AR494" s="10" t="s">
        <v>127</v>
      </c>
      <c r="AS494" s="13">
        <v>8644.9987466476105</v>
      </c>
      <c r="AT494" s="13"/>
      <c r="AU494" s="13"/>
      <c r="AV494" s="13"/>
      <c r="AW494" s="13"/>
      <c r="AX494" s="13">
        <v>8644.9987466476105</v>
      </c>
      <c r="AY494" s="13">
        <v>6552.8301001986456</v>
      </c>
      <c r="AZ494" s="13">
        <v>0</v>
      </c>
      <c r="BA494" s="13"/>
      <c r="BB494" s="13"/>
      <c r="BC494" s="13">
        <v>-2092.1686464489649</v>
      </c>
      <c r="BD494" s="13"/>
      <c r="BE494" s="13" t="s">
        <v>114</v>
      </c>
      <c r="BF494" s="29"/>
      <c r="BG494" s="13"/>
      <c r="BH494" s="13">
        <f>-FAR[[#This Row],[Carrying value (opening balance)]]/FAR[[#This Row],[Opening RUL 30 June 2026]]</f>
        <v>-1440.8331244412684</v>
      </c>
      <c r="BI494" s="13">
        <f>FAR[[#This Row],[Depreciation YTD]]/12</f>
        <v>-120.06942703677237</v>
      </c>
      <c r="BJ494" s="13"/>
      <c r="BK494" s="13" t="s">
        <v>116</v>
      </c>
      <c r="BL494" s="13">
        <v>0</v>
      </c>
      <c r="BM494" s="13">
        <f>FAR[[#This Row],[Accumulated depreciation (Opening balance)]]+FAR[[#This Row],[Depreciation YTD]]+FAR[[#This Row],[Derecognitions (acc dep) '[+']]]</f>
        <v>-3533.0017708902333</v>
      </c>
      <c r="BN494" s="13"/>
      <c r="BO494" s="13"/>
      <c r="BP494" s="13"/>
      <c r="BQ494" s="13"/>
      <c r="BR49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94" s="13">
        <f>FAR[[#This Row],[Cost Price (closing balance)]]+FAR[[#This Row],[Accumulated depreciation (Closing balance)]]+FAR[[#This Row],[Accumulated impairments (Closing balance)]]</f>
        <v>5111.9969757573772</v>
      </c>
      <c r="BT494" s="13">
        <f>FAR[[#This Row],[Accumulated depreciation (Opening balance)]]</f>
        <v>-2092.1686464489649</v>
      </c>
      <c r="BU494" s="13"/>
      <c r="BV494" s="13"/>
      <c r="BW494" s="10"/>
      <c r="BX494" s="9"/>
      <c r="BY494" s="10"/>
      <c r="BZ494"/>
      <c r="CA494"/>
      <c r="CB494" s="34"/>
      <c r="CC494" s="34"/>
      <c r="CD494" s="34"/>
      <c r="CE494" s="141">
        <f>FAR[[#This Row],[Additions capitalised (@actual cost)]]/FAR[[#This Row],[EUL]]</f>
        <v>0</v>
      </c>
    </row>
    <row r="495" spans="1:83">
      <c r="A495" s="35">
        <v>1820</v>
      </c>
      <c r="B495" s="9" t="str">
        <f>VLOOKUP(FAR[[#This Row],[Component ID/ Bar code]],[3]nhc!$I$1:$P$686,8,0)</f>
        <v>R29</v>
      </c>
      <c r="C495" s="9" t="s">
        <v>54</v>
      </c>
      <c r="D495" s="10" t="s">
        <v>1</v>
      </c>
      <c r="E495" s="9" t="s">
        <v>115</v>
      </c>
      <c r="F495" s="36" t="s">
        <v>99</v>
      </c>
      <c r="G495" s="9" t="s">
        <v>100</v>
      </c>
      <c r="H495" s="3" t="s">
        <v>128</v>
      </c>
      <c r="I495" s="9" t="s">
        <v>100</v>
      </c>
      <c r="J495" s="36" t="s">
        <v>101</v>
      </c>
      <c r="K495" s="10" t="s">
        <v>559</v>
      </c>
      <c r="L495" s="10" t="s">
        <v>559</v>
      </c>
      <c r="M495" s="9" t="s">
        <v>100</v>
      </c>
      <c r="N495" s="10" t="s">
        <v>1056</v>
      </c>
      <c r="O495" s="9" t="s">
        <v>100</v>
      </c>
      <c r="P495" s="10"/>
      <c r="Q495" s="10" t="s">
        <v>1056</v>
      </c>
      <c r="R495" s="10" t="s">
        <v>119</v>
      </c>
      <c r="S495" s="10" t="s">
        <v>130</v>
      </c>
      <c r="T495" s="10" t="s">
        <v>120</v>
      </c>
      <c r="U495" s="10" t="s">
        <v>101</v>
      </c>
      <c r="V495" s="10" t="s">
        <v>121</v>
      </c>
      <c r="W495" s="10" t="s">
        <v>122</v>
      </c>
      <c r="X495" s="10" t="s">
        <v>123</v>
      </c>
      <c r="Y495" s="29">
        <v>1</v>
      </c>
      <c r="Z495" s="138" t="s">
        <v>1058</v>
      </c>
      <c r="AA495" s="138">
        <v>45217</v>
      </c>
      <c r="AB495" s="9" t="s">
        <v>114</v>
      </c>
      <c r="AC495" s="9" t="s">
        <v>124</v>
      </c>
      <c r="AD495" s="15">
        <v>45382</v>
      </c>
      <c r="AE495" s="39" t="s">
        <v>125</v>
      </c>
      <c r="AF495" s="177">
        <v>6</v>
      </c>
      <c r="AG495" s="140">
        <v>0</v>
      </c>
      <c r="AH495" s="9">
        <v>0</v>
      </c>
      <c r="AI495" s="10" t="s">
        <v>126</v>
      </c>
      <c r="AJ495" s="10"/>
      <c r="AK495" s="29"/>
      <c r="AL495" s="12">
        <v>4.5479452054794525</v>
      </c>
      <c r="AM495" s="10">
        <v>0</v>
      </c>
      <c r="AN495" s="12">
        <f>FAR[[#This Row],[Opening RUL]]+FAR[[#This Row],[RUL Adjustment]]</f>
        <v>4.5479452054794525</v>
      </c>
      <c r="AO495" s="12">
        <f>FAR[[#This Row],[Opening RUL 30 June 2026]]-1</f>
        <v>3.5479452054794525</v>
      </c>
      <c r="AP495" s="12" t="s">
        <v>1068</v>
      </c>
      <c r="AQ495" s="139"/>
      <c r="AR495" s="10" t="s">
        <v>127</v>
      </c>
      <c r="AS495" s="13">
        <v>8644.9987466476105</v>
      </c>
      <c r="AT495" s="13"/>
      <c r="AU495" s="13"/>
      <c r="AV495" s="13"/>
      <c r="AW495" s="13"/>
      <c r="AX495" s="13">
        <v>8644.9987466476105</v>
      </c>
      <c r="AY495" s="13">
        <v>6552.8301001986456</v>
      </c>
      <c r="AZ495" s="13">
        <v>0</v>
      </c>
      <c r="BA495" s="13"/>
      <c r="BB495" s="13"/>
      <c r="BC495" s="13">
        <v>-2092.1686464489649</v>
      </c>
      <c r="BD495" s="13"/>
      <c r="BE495" s="13" t="s">
        <v>114</v>
      </c>
      <c r="BF495" s="29"/>
      <c r="BG495" s="13"/>
      <c r="BH495" s="13">
        <f>-FAR[[#This Row],[Carrying value (opening balance)]]/FAR[[#This Row],[Opening RUL 30 June 2026]]</f>
        <v>-1440.8331244412684</v>
      </c>
      <c r="BI495" s="13">
        <f>FAR[[#This Row],[Depreciation YTD]]/12</f>
        <v>-120.06942703677237</v>
      </c>
      <c r="BJ495" s="13"/>
      <c r="BK495" s="13" t="s">
        <v>116</v>
      </c>
      <c r="BL495" s="13">
        <v>0</v>
      </c>
      <c r="BM495" s="13">
        <f>FAR[[#This Row],[Accumulated depreciation (Opening balance)]]+FAR[[#This Row],[Depreciation YTD]]+FAR[[#This Row],[Derecognitions (acc dep) '[+']]]</f>
        <v>-3533.0017708902333</v>
      </c>
      <c r="BN495" s="13"/>
      <c r="BO495" s="13"/>
      <c r="BP495" s="13"/>
      <c r="BQ495" s="13"/>
      <c r="BR49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95" s="13">
        <f>FAR[[#This Row],[Cost Price (closing balance)]]+FAR[[#This Row],[Accumulated depreciation (Closing balance)]]+FAR[[#This Row],[Accumulated impairments (Closing balance)]]</f>
        <v>5111.9969757573772</v>
      </c>
      <c r="BT495" s="13">
        <f>FAR[[#This Row],[Accumulated depreciation (Opening balance)]]</f>
        <v>-2092.1686464489649</v>
      </c>
      <c r="BU495" s="13"/>
      <c r="BV495" s="13"/>
      <c r="BW495" s="10"/>
      <c r="BX495" s="9"/>
      <c r="BY495" s="10"/>
      <c r="BZ495"/>
      <c r="CA495"/>
      <c r="CB495" s="34"/>
      <c r="CC495" s="34"/>
      <c r="CD495" s="34"/>
      <c r="CE495" s="141">
        <f>FAR[[#This Row],[Additions capitalised (@actual cost)]]/FAR[[#This Row],[EUL]]</f>
        <v>0</v>
      </c>
    </row>
    <row r="496" spans="1:83">
      <c r="A496" s="35">
        <v>1896</v>
      </c>
      <c r="B496" s="9" t="str">
        <f>VLOOKUP(FAR[[#This Row],[Component ID/ Bar code]],[3]nhc!$I$1:$P$686,8,0)</f>
        <v>R29</v>
      </c>
      <c r="C496" s="9" t="s">
        <v>54</v>
      </c>
      <c r="D496" s="10" t="s">
        <v>1</v>
      </c>
      <c r="E496" s="9" t="s">
        <v>115</v>
      </c>
      <c r="F496" s="36" t="s">
        <v>99</v>
      </c>
      <c r="G496" s="9" t="s">
        <v>100</v>
      </c>
      <c r="H496" s="3" t="s">
        <v>128</v>
      </c>
      <c r="I496" s="9" t="s">
        <v>100</v>
      </c>
      <c r="J496" s="36" t="s">
        <v>101</v>
      </c>
      <c r="K496" s="10" t="s">
        <v>559</v>
      </c>
      <c r="L496" s="10" t="s">
        <v>559</v>
      </c>
      <c r="M496" s="9" t="s">
        <v>100</v>
      </c>
      <c r="N496" s="10" t="s">
        <v>1056</v>
      </c>
      <c r="O496" s="9" t="s">
        <v>100</v>
      </c>
      <c r="P496" s="10"/>
      <c r="Q496" s="10" t="s">
        <v>1056</v>
      </c>
      <c r="R496" s="10" t="s">
        <v>119</v>
      </c>
      <c r="S496" s="10" t="s">
        <v>130</v>
      </c>
      <c r="T496" s="10" t="s">
        <v>120</v>
      </c>
      <c r="U496" s="10" t="s">
        <v>101</v>
      </c>
      <c r="V496" s="10" t="s">
        <v>121</v>
      </c>
      <c r="W496" s="10" t="s">
        <v>122</v>
      </c>
      <c r="X496" s="10" t="s">
        <v>123</v>
      </c>
      <c r="Y496" s="29">
        <v>1</v>
      </c>
      <c r="Z496" s="138" t="s">
        <v>1058</v>
      </c>
      <c r="AA496" s="138">
        <v>45217</v>
      </c>
      <c r="AB496" s="9" t="s">
        <v>114</v>
      </c>
      <c r="AC496" s="9" t="s">
        <v>124</v>
      </c>
      <c r="AD496" s="15">
        <v>45382</v>
      </c>
      <c r="AE496" s="39" t="s">
        <v>125</v>
      </c>
      <c r="AF496" s="177">
        <v>6</v>
      </c>
      <c r="AG496" s="140">
        <v>0</v>
      </c>
      <c r="AH496" s="9">
        <v>0</v>
      </c>
      <c r="AI496" s="10" t="s">
        <v>126</v>
      </c>
      <c r="AJ496" s="10"/>
      <c r="AK496" s="29"/>
      <c r="AL496" s="12">
        <v>4.5479452054794525</v>
      </c>
      <c r="AM496" s="10">
        <v>0</v>
      </c>
      <c r="AN496" s="12">
        <f>FAR[[#This Row],[Opening RUL]]+FAR[[#This Row],[RUL Adjustment]]</f>
        <v>4.5479452054794525</v>
      </c>
      <c r="AO496" s="12">
        <f>FAR[[#This Row],[Opening RUL 30 June 2026]]-1</f>
        <v>3.5479452054794525</v>
      </c>
      <c r="AP496" s="12" t="s">
        <v>1069</v>
      </c>
      <c r="AQ496" s="139"/>
      <c r="AR496" s="10" t="s">
        <v>127</v>
      </c>
      <c r="AS496" s="13">
        <v>8644.9987466476105</v>
      </c>
      <c r="AT496" s="13"/>
      <c r="AU496" s="13"/>
      <c r="AV496" s="13"/>
      <c r="AW496" s="13"/>
      <c r="AX496" s="13">
        <v>8644.9987466476105</v>
      </c>
      <c r="AY496" s="13">
        <v>6552.8301001986456</v>
      </c>
      <c r="AZ496" s="13">
        <v>0</v>
      </c>
      <c r="BA496" s="13"/>
      <c r="BB496" s="13"/>
      <c r="BC496" s="13">
        <v>-2092.1686464489649</v>
      </c>
      <c r="BD496" s="13"/>
      <c r="BE496" s="13" t="s">
        <v>114</v>
      </c>
      <c r="BF496" s="29"/>
      <c r="BG496" s="13"/>
      <c r="BH496" s="13">
        <f>-FAR[[#This Row],[Carrying value (opening balance)]]/FAR[[#This Row],[Opening RUL 30 June 2026]]</f>
        <v>-1440.8331244412684</v>
      </c>
      <c r="BI496" s="13">
        <f>FAR[[#This Row],[Depreciation YTD]]/12</f>
        <v>-120.06942703677237</v>
      </c>
      <c r="BJ496" s="13"/>
      <c r="BK496" s="13" t="s">
        <v>116</v>
      </c>
      <c r="BL496" s="13">
        <v>0</v>
      </c>
      <c r="BM496" s="13">
        <f>FAR[[#This Row],[Accumulated depreciation (Opening balance)]]+FAR[[#This Row],[Depreciation YTD]]+FAR[[#This Row],[Derecognitions (acc dep) '[+']]]</f>
        <v>-3533.0017708902333</v>
      </c>
      <c r="BN496" s="13"/>
      <c r="BO496" s="13"/>
      <c r="BP496" s="13"/>
      <c r="BQ496" s="13"/>
      <c r="BR49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96" s="13">
        <f>FAR[[#This Row],[Cost Price (closing balance)]]+FAR[[#This Row],[Accumulated depreciation (Closing balance)]]+FAR[[#This Row],[Accumulated impairments (Closing balance)]]</f>
        <v>5111.9969757573772</v>
      </c>
      <c r="BT496" s="13">
        <f>FAR[[#This Row],[Accumulated depreciation (Opening balance)]]</f>
        <v>-2092.1686464489649</v>
      </c>
      <c r="BU496" s="13"/>
      <c r="BV496" s="13"/>
      <c r="BW496" s="10"/>
      <c r="BX496" s="9"/>
      <c r="BY496" s="10"/>
      <c r="BZ496"/>
      <c r="CA496"/>
      <c r="CB496" s="34"/>
      <c r="CC496" s="34"/>
      <c r="CD496" s="34"/>
      <c r="CE496" s="141">
        <f>FAR[[#This Row],[Additions capitalised (@actual cost)]]/FAR[[#This Row],[EUL]]</f>
        <v>0</v>
      </c>
    </row>
    <row r="497" spans="1:83">
      <c r="A497" s="35">
        <v>1833</v>
      </c>
      <c r="B497" s="9">
        <v>29</v>
      </c>
      <c r="C497" s="9" t="s">
        <v>54</v>
      </c>
      <c r="D497" s="10" t="s">
        <v>1</v>
      </c>
      <c r="E497" s="9" t="s">
        <v>115</v>
      </c>
      <c r="F497" s="36" t="s">
        <v>99</v>
      </c>
      <c r="G497" s="9" t="s">
        <v>100</v>
      </c>
      <c r="H497" s="3" t="s">
        <v>128</v>
      </c>
      <c r="I497" s="9" t="s">
        <v>100</v>
      </c>
      <c r="J497" s="36" t="s">
        <v>101</v>
      </c>
      <c r="K497" s="10" t="s">
        <v>559</v>
      </c>
      <c r="L497" s="10" t="s">
        <v>559</v>
      </c>
      <c r="M497" s="9" t="s">
        <v>100</v>
      </c>
      <c r="N497" s="10" t="s">
        <v>1057</v>
      </c>
      <c r="O497" s="9" t="s">
        <v>100</v>
      </c>
      <c r="P497" s="10"/>
      <c r="Q497" s="10" t="s">
        <v>1057</v>
      </c>
      <c r="R497" s="10" t="s">
        <v>119</v>
      </c>
      <c r="S497" s="10" t="s">
        <v>130</v>
      </c>
      <c r="T497" s="10" t="s">
        <v>120</v>
      </c>
      <c r="U497" s="10" t="s">
        <v>101</v>
      </c>
      <c r="V497" s="10" t="s">
        <v>121</v>
      </c>
      <c r="W497" s="10" t="s">
        <v>122</v>
      </c>
      <c r="X497" s="10" t="s">
        <v>123</v>
      </c>
      <c r="Y497" s="29">
        <v>1</v>
      </c>
      <c r="Z497" s="138" t="s">
        <v>1058</v>
      </c>
      <c r="AA497" s="138">
        <v>45217</v>
      </c>
      <c r="AB497" s="9" t="s">
        <v>114</v>
      </c>
      <c r="AC497" s="9" t="s">
        <v>124</v>
      </c>
      <c r="AD497" s="15">
        <v>45382</v>
      </c>
      <c r="AE497" s="39" t="s">
        <v>125</v>
      </c>
      <c r="AF497" s="177">
        <v>6</v>
      </c>
      <c r="AG497" s="140">
        <v>0</v>
      </c>
      <c r="AH497" s="9">
        <v>0</v>
      </c>
      <c r="AI497" s="10" t="s">
        <v>126</v>
      </c>
      <c r="AJ497" s="10"/>
      <c r="AK497" s="29"/>
      <c r="AL497" s="12">
        <v>4.5479452054794525</v>
      </c>
      <c r="AM497" s="10">
        <v>0</v>
      </c>
      <c r="AN497" s="12">
        <f>FAR[[#This Row],[Opening RUL]]+FAR[[#This Row],[RUL Adjustment]]</f>
        <v>4.5479452054794525</v>
      </c>
      <c r="AO497" s="12">
        <f>FAR[[#This Row],[Opening RUL 30 June 2026]]-1</f>
        <v>3.5479452054794525</v>
      </c>
      <c r="AP497" s="12" t="s">
        <v>1070</v>
      </c>
      <c r="AQ497" s="139"/>
      <c r="AR497" s="10" t="s">
        <v>127</v>
      </c>
      <c r="AS497" s="13">
        <v>4765.0366359496902</v>
      </c>
      <c r="AT497" s="13"/>
      <c r="AU497" s="13"/>
      <c r="AV497" s="13"/>
      <c r="AW497" s="13"/>
      <c r="AX497" s="13">
        <v>4765.0366359496902</v>
      </c>
      <c r="AY497" s="13">
        <v>3611.8542537335552</v>
      </c>
      <c r="AZ497" s="13">
        <v>0</v>
      </c>
      <c r="BA497" s="13"/>
      <c r="BB497" s="13"/>
      <c r="BC497" s="13">
        <v>-1153.182382216135</v>
      </c>
      <c r="BD497" s="13"/>
      <c r="BE497" s="13" t="s">
        <v>114</v>
      </c>
      <c r="BF497" s="29"/>
      <c r="BG497" s="13"/>
      <c r="BH497" s="13">
        <f>-FAR[[#This Row],[Carrying value (opening balance)]]/FAR[[#This Row],[Opening RUL 30 June 2026]]</f>
        <v>-794.17277265828159</v>
      </c>
      <c r="BI497" s="13">
        <f>FAR[[#This Row],[Depreciation YTD]]/12</f>
        <v>-66.181064388190137</v>
      </c>
      <c r="BJ497" s="13"/>
      <c r="BK497" s="13" t="s">
        <v>116</v>
      </c>
      <c r="BL497" s="13">
        <v>0</v>
      </c>
      <c r="BM497" s="13">
        <f>FAR[[#This Row],[Accumulated depreciation (Opening balance)]]+FAR[[#This Row],[Depreciation YTD]]+FAR[[#This Row],[Derecognitions (acc dep) '[+']]]</f>
        <v>-1947.3551548744167</v>
      </c>
      <c r="BN497" s="13"/>
      <c r="BO497" s="13"/>
      <c r="BP497" s="13"/>
      <c r="BQ497" s="13"/>
      <c r="BR49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97" s="13">
        <f>FAR[[#This Row],[Cost Price (closing balance)]]+FAR[[#This Row],[Accumulated depreciation (Closing balance)]]+FAR[[#This Row],[Accumulated impairments (Closing balance)]]</f>
        <v>2817.6814810752735</v>
      </c>
      <c r="BT497" s="13">
        <f>FAR[[#This Row],[Accumulated depreciation (Opening balance)]]</f>
        <v>-1153.182382216135</v>
      </c>
      <c r="BU497" s="13"/>
      <c r="BV497" s="13"/>
      <c r="BW497" s="10"/>
      <c r="BX497" s="9"/>
      <c r="BY497" s="10"/>
      <c r="BZ497"/>
      <c r="CA497"/>
      <c r="CB497" s="34"/>
      <c r="CC497" s="34"/>
      <c r="CD497" s="34"/>
      <c r="CE497" s="141">
        <f>FAR[[#This Row],[Additions capitalised (@actual cost)]]/FAR[[#This Row],[EUL]]</f>
        <v>0</v>
      </c>
    </row>
    <row r="498" spans="1:83">
      <c r="A498" s="35" t="s">
        <v>1082</v>
      </c>
      <c r="B498" s="9" t="s">
        <v>1120</v>
      </c>
      <c r="C498" s="9" t="s">
        <v>54</v>
      </c>
      <c r="D498" s="10" t="s">
        <v>1</v>
      </c>
      <c r="E498" s="9" t="s">
        <v>115</v>
      </c>
      <c r="F498" s="36" t="s">
        <v>99</v>
      </c>
      <c r="G498" s="9" t="s">
        <v>100</v>
      </c>
      <c r="H498" s="3" t="s">
        <v>623</v>
      </c>
      <c r="I498" s="9" t="s">
        <v>100</v>
      </c>
      <c r="J498" s="36" t="s">
        <v>101</v>
      </c>
      <c r="K498" s="10" t="s">
        <v>559</v>
      </c>
      <c r="L498" s="10" t="s">
        <v>559</v>
      </c>
      <c r="M498" s="9" t="s">
        <v>100</v>
      </c>
      <c r="N498" s="10" t="s">
        <v>1125</v>
      </c>
      <c r="O498" s="9" t="s">
        <v>100</v>
      </c>
      <c r="P498" s="10"/>
      <c r="Q498" s="10" t="s">
        <v>1125</v>
      </c>
      <c r="R498" s="10" t="s">
        <v>119</v>
      </c>
      <c r="S498" s="10" t="s">
        <v>130</v>
      </c>
      <c r="T498" s="10" t="s">
        <v>120</v>
      </c>
      <c r="U498" s="10" t="s">
        <v>101</v>
      </c>
      <c r="V498" s="10" t="s">
        <v>121</v>
      </c>
      <c r="W498" s="10" t="s">
        <v>122</v>
      </c>
      <c r="X498" s="10" t="s">
        <v>123</v>
      </c>
      <c r="Y498" s="29">
        <v>1</v>
      </c>
      <c r="Z498" s="138" t="s">
        <v>1143</v>
      </c>
      <c r="AA498" s="138">
        <v>45554</v>
      </c>
      <c r="AB498" s="9" t="s">
        <v>114</v>
      </c>
      <c r="AC498" s="9" t="s">
        <v>124</v>
      </c>
      <c r="AD498" s="15">
        <v>45747</v>
      </c>
      <c r="AE498" s="39" t="s">
        <v>125</v>
      </c>
      <c r="AF498" s="177">
        <v>6</v>
      </c>
      <c r="AG498" s="140">
        <v>0</v>
      </c>
      <c r="AH498" s="9">
        <v>0</v>
      </c>
      <c r="AI498" s="10" t="s">
        <v>126</v>
      </c>
      <c r="AJ498" s="10">
        <f>FAR[[#This Row],[Reporting date]]-FAR[[#This Row],[Take-On Date '[dd-mm-yy']]]</f>
        <v>193</v>
      </c>
      <c r="AK498" s="29">
        <f>FAR[[#This Row],[Years utilised in Days ]]/365</f>
        <v>0.52876712328767128</v>
      </c>
      <c r="AL498" s="12">
        <v>5.4712328767123291</v>
      </c>
      <c r="AM498" s="10">
        <v>0</v>
      </c>
      <c r="AN498" s="12">
        <f>FAR[[#This Row],[Opening RUL]]+FAR[[#This Row],[RUL Adjustment]]</f>
        <v>5.4712328767123291</v>
      </c>
      <c r="AO498" s="12">
        <f>FAR[[#This Row],[EUL]]-FAR[[#This Row],[Years utilised in Years]]</f>
        <v>5.4712328767123291</v>
      </c>
      <c r="AP498" s="12" t="s">
        <v>1070</v>
      </c>
      <c r="AQ498" s="139"/>
      <c r="AR498" s="10" t="s">
        <v>127</v>
      </c>
      <c r="AS498" s="13">
        <v>16700</v>
      </c>
      <c r="AT498" s="13"/>
      <c r="AU498" s="13"/>
      <c r="AV498" s="13"/>
      <c r="AW498" s="13"/>
      <c r="AX498" s="13">
        <v>16700</v>
      </c>
      <c r="AY498" s="226">
        <v>15228.264840182648</v>
      </c>
      <c r="AZ498" s="13">
        <v>0</v>
      </c>
      <c r="BA498" s="13"/>
      <c r="BB498" s="13"/>
      <c r="BC498" s="13">
        <v>-1471.7351598173516</v>
      </c>
      <c r="BD498" s="13"/>
      <c r="BE498" s="13" t="s">
        <v>114</v>
      </c>
      <c r="BF498" s="29"/>
      <c r="BG498" s="13"/>
      <c r="BH498" s="13">
        <f>-FAR[[#This Row],[Carrying value (opening balance)]]/FAR[[#This Row],[Opening RUL 30 June 2026]]</f>
        <v>-2783.333333333333</v>
      </c>
      <c r="BI498" s="13">
        <f>FAR[[#This Row],[Depreciation YTD]]/12</f>
        <v>-231.94444444444443</v>
      </c>
      <c r="BJ498" s="13"/>
      <c r="BK498" s="13" t="s">
        <v>116</v>
      </c>
      <c r="BL498" s="13">
        <v>0</v>
      </c>
      <c r="BM498" s="13">
        <f>FAR[[#This Row],[Accumulated depreciation (Opening balance)]]+FAR[[#This Row],[Depreciation YTD]]+FAR[[#This Row],[Derecognitions (acc dep) '[+']]]</f>
        <v>-4255.0684931506848</v>
      </c>
      <c r="BN498" s="13"/>
      <c r="BO498" s="13"/>
      <c r="BP498" s="13"/>
      <c r="BQ498" s="13"/>
      <c r="BR49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98" s="13">
        <f>FAR[[#This Row],[Cost Price (closing balance)]]+FAR[[#This Row],[Accumulated depreciation (Closing balance)]]+FAR[[#This Row],[Accumulated impairments (Closing balance)]]</f>
        <v>12444.931506849316</v>
      </c>
      <c r="BT498" s="13">
        <f>FAR[[#This Row],[Accumulated depreciation (Opening balance)]]</f>
        <v>-1471.7351598173516</v>
      </c>
      <c r="BU498" s="13"/>
      <c r="BV498" s="13"/>
      <c r="BW498" s="10"/>
      <c r="BX498" s="9"/>
      <c r="BY498" s="10"/>
      <c r="BZ498"/>
      <c r="CA498" t="s">
        <v>1131</v>
      </c>
      <c r="CB498" s="34"/>
      <c r="CC498" s="34"/>
      <c r="CD498" s="34"/>
      <c r="CE498" s="141">
        <f>FAR[[#This Row],[Additions capitalised (@actual cost)]]/FAR[[#This Row],[EUL]]</f>
        <v>0</v>
      </c>
    </row>
    <row r="499" spans="1:83">
      <c r="A499" s="35">
        <v>1916</v>
      </c>
      <c r="B499" s="9" t="s">
        <v>1120</v>
      </c>
      <c r="C499" s="9" t="s">
        <v>54</v>
      </c>
      <c r="D499" s="10" t="s">
        <v>1</v>
      </c>
      <c r="E499" s="9" t="s">
        <v>115</v>
      </c>
      <c r="F499" s="36" t="s">
        <v>99</v>
      </c>
      <c r="G499" s="9" t="s">
        <v>100</v>
      </c>
      <c r="H499" s="3" t="s">
        <v>623</v>
      </c>
      <c r="I499" s="9" t="s">
        <v>100</v>
      </c>
      <c r="J499" s="36" t="s">
        <v>101</v>
      </c>
      <c r="K499" s="10" t="s">
        <v>559</v>
      </c>
      <c r="L499" s="10" t="s">
        <v>559</v>
      </c>
      <c r="M499" s="9" t="s">
        <v>100</v>
      </c>
      <c r="N499" s="10" t="s">
        <v>1126</v>
      </c>
      <c r="O499" s="9" t="s">
        <v>100</v>
      </c>
      <c r="P499" s="10"/>
      <c r="Q499" s="10" t="s">
        <v>1126</v>
      </c>
      <c r="R499" s="10" t="s">
        <v>119</v>
      </c>
      <c r="S499" s="10" t="s">
        <v>130</v>
      </c>
      <c r="T499" s="10" t="s">
        <v>120</v>
      </c>
      <c r="U499" s="10" t="s">
        <v>101</v>
      </c>
      <c r="V499" s="10" t="s">
        <v>121</v>
      </c>
      <c r="W499" s="10" t="s">
        <v>122</v>
      </c>
      <c r="X499" s="10" t="s">
        <v>123</v>
      </c>
      <c r="Y499" s="29">
        <v>1</v>
      </c>
      <c r="Z499" s="138" t="s">
        <v>1143</v>
      </c>
      <c r="AA499" s="138">
        <v>45554</v>
      </c>
      <c r="AB499" s="9" t="s">
        <v>114</v>
      </c>
      <c r="AC499" s="9" t="s">
        <v>124</v>
      </c>
      <c r="AD499" s="15">
        <v>45747</v>
      </c>
      <c r="AE499" s="39" t="s">
        <v>125</v>
      </c>
      <c r="AF499" s="177">
        <v>6</v>
      </c>
      <c r="AG499" s="140">
        <v>0</v>
      </c>
      <c r="AH499" s="9">
        <v>0</v>
      </c>
      <c r="AI499" s="10" t="s">
        <v>126</v>
      </c>
      <c r="AJ499" s="10">
        <f>FAR[[#This Row],[Reporting date]]-FAR[[#This Row],[Take-On Date '[dd-mm-yy']]]</f>
        <v>193</v>
      </c>
      <c r="AK499" s="29">
        <f>FAR[[#This Row],[Years utilised in Days ]]/365</f>
        <v>0.52876712328767128</v>
      </c>
      <c r="AL499" s="12">
        <v>5.4712328767123291</v>
      </c>
      <c r="AM499" s="10">
        <v>0</v>
      </c>
      <c r="AN499" s="12">
        <f>FAR[[#This Row],[Opening RUL]]+FAR[[#This Row],[RUL Adjustment]]</f>
        <v>5.4712328767123291</v>
      </c>
      <c r="AO499" s="12">
        <f>FAR[[#This Row],[EUL]]-FAR[[#This Row],[Years utilised in Years]]</f>
        <v>5.4712328767123291</v>
      </c>
      <c r="AP499" s="12" t="s">
        <v>1070</v>
      </c>
      <c r="AQ499" s="139"/>
      <c r="AR499" s="10" t="s">
        <v>127</v>
      </c>
      <c r="AS499" s="13">
        <v>132400</v>
      </c>
      <c r="AT499" s="13"/>
      <c r="AU499" s="13"/>
      <c r="AV499" s="13"/>
      <c r="AW499" s="13"/>
      <c r="AX499" s="13">
        <v>132400</v>
      </c>
      <c r="AY499" s="226">
        <v>120731.87214611872</v>
      </c>
      <c r="AZ499" s="13">
        <v>0</v>
      </c>
      <c r="BA499" s="13"/>
      <c r="BB499" s="13"/>
      <c r="BC499" s="13">
        <v>-11668.127853881278</v>
      </c>
      <c r="BD499" s="13"/>
      <c r="BE499" s="13" t="s">
        <v>114</v>
      </c>
      <c r="BF499" s="29"/>
      <c r="BG499" s="13"/>
      <c r="BH499" s="13">
        <f>-FAR[[#This Row],[Carrying value (opening balance)]]/FAR[[#This Row],[Opening RUL 30 June 2026]]</f>
        <v>-22066.666666666664</v>
      </c>
      <c r="BI499" s="13">
        <f>FAR[[#This Row],[Depreciation YTD]]/12</f>
        <v>-1838.8888888888887</v>
      </c>
      <c r="BJ499" s="13"/>
      <c r="BK499" s="13" t="s">
        <v>116</v>
      </c>
      <c r="BL499" s="13">
        <v>0</v>
      </c>
      <c r="BM499" s="13">
        <f>FAR[[#This Row],[Accumulated depreciation (Opening balance)]]+FAR[[#This Row],[Depreciation YTD]]+FAR[[#This Row],[Derecognitions (acc dep) '[+']]]</f>
        <v>-33734.794520547941</v>
      </c>
      <c r="BN499" s="13"/>
      <c r="BO499" s="13"/>
      <c r="BP499" s="13"/>
      <c r="BQ499" s="13"/>
      <c r="BR49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499" s="13">
        <f>FAR[[#This Row],[Cost Price (closing balance)]]+FAR[[#This Row],[Accumulated depreciation (Closing balance)]]+FAR[[#This Row],[Accumulated impairments (Closing balance)]]</f>
        <v>98665.205479452066</v>
      </c>
      <c r="BT499" s="13">
        <f>FAR[[#This Row],[Accumulated depreciation (Opening balance)]]</f>
        <v>-11668.127853881278</v>
      </c>
      <c r="BU499" s="13"/>
      <c r="BV499" s="13"/>
      <c r="BW499" s="10"/>
      <c r="BX499" s="9"/>
      <c r="BY499" s="10"/>
      <c r="BZ499"/>
      <c r="CA499"/>
      <c r="CB499" s="34"/>
      <c r="CC499" s="34"/>
      <c r="CD499" s="34"/>
      <c r="CE499" s="141">
        <f>FAR[[#This Row],[Additions capitalised (@actual cost)]]/FAR[[#This Row],[EUL]]</f>
        <v>0</v>
      </c>
    </row>
    <row r="500" spans="1:83">
      <c r="A500" s="35" t="s">
        <v>1084</v>
      </c>
      <c r="B500" s="9" t="s">
        <v>1121</v>
      </c>
      <c r="C500" s="9" t="s">
        <v>54</v>
      </c>
      <c r="D500" s="10" t="s">
        <v>1</v>
      </c>
      <c r="E500" s="9" t="s">
        <v>115</v>
      </c>
      <c r="F500" s="36" t="s">
        <v>99</v>
      </c>
      <c r="G500" s="9" t="s">
        <v>100</v>
      </c>
      <c r="H500" s="3" t="s">
        <v>623</v>
      </c>
      <c r="I500" s="9" t="s">
        <v>100</v>
      </c>
      <c r="J500" s="36" t="s">
        <v>101</v>
      </c>
      <c r="K500" s="10" t="s">
        <v>559</v>
      </c>
      <c r="L500" s="10" t="s">
        <v>559</v>
      </c>
      <c r="M500" s="9" t="s">
        <v>100</v>
      </c>
      <c r="N500" s="10" t="s">
        <v>1127</v>
      </c>
      <c r="O500" s="9" t="s">
        <v>100</v>
      </c>
      <c r="P500" s="10"/>
      <c r="Q500" s="10" t="s">
        <v>1127</v>
      </c>
      <c r="R500" s="10" t="s">
        <v>119</v>
      </c>
      <c r="S500" s="10" t="s">
        <v>130</v>
      </c>
      <c r="T500" s="10" t="s">
        <v>120</v>
      </c>
      <c r="U500" s="10" t="s">
        <v>101</v>
      </c>
      <c r="V500" s="10" t="s">
        <v>121</v>
      </c>
      <c r="W500" s="10" t="s">
        <v>122</v>
      </c>
      <c r="X500" s="10" t="s">
        <v>123</v>
      </c>
      <c r="Y500" s="29">
        <v>1</v>
      </c>
      <c r="Z500" s="138" t="s">
        <v>1143</v>
      </c>
      <c r="AA500" s="138">
        <v>45554</v>
      </c>
      <c r="AB500" s="9" t="s">
        <v>114</v>
      </c>
      <c r="AC500" s="9" t="s">
        <v>124</v>
      </c>
      <c r="AD500" s="15">
        <v>45747</v>
      </c>
      <c r="AE500" s="39" t="s">
        <v>125</v>
      </c>
      <c r="AF500" s="177">
        <v>6</v>
      </c>
      <c r="AG500" s="140">
        <v>0</v>
      </c>
      <c r="AH500" s="9">
        <v>0</v>
      </c>
      <c r="AI500" s="10" t="s">
        <v>126</v>
      </c>
      <c r="AJ500" s="10">
        <f>FAR[[#This Row],[Reporting date]]-FAR[[#This Row],[Take-On Date '[dd-mm-yy']]]</f>
        <v>193</v>
      </c>
      <c r="AK500" s="29">
        <f>FAR[[#This Row],[Years utilised in Days ]]/365</f>
        <v>0.52876712328767128</v>
      </c>
      <c r="AL500" s="12">
        <v>5.4712328767123291</v>
      </c>
      <c r="AM500" s="10">
        <v>0</v>
      </c>
      <c r="AN500" s="12">
        <f>FAR[[#This Row],[Opening RUL]]+FAR[[#This Row],[RUL Adjustment]]</f>
        <v>5.4712328767123291</v>
      </c>
      <c r="AO500" s="12">
        <f>FAR[[#This Row],[EUL]]-FAR[[#This Row],[Years utilised in Years]]</f>
        <v>5.4712328767123291</v>
      </c>
      <c r="AP500" s="12" t="s">
        <v>1070</v>
      </c>
      <c r="AQ500" s="139"/>
      <c r="AR500" s="10" t="s">
        <v>127</v>
      </c>
      <c r="AS500" s="13">
        <v>8500</v>
      </c>
      <c r="AT500" s="13"/>
      <c r="AU500" s="13"/>
      <c r="AV500" s="13"/>
      <c r="AW500" s="13"/>
      <c r="AX500" s="13">
        <v>8500</v>
      </c>
      <c r="AY500" s="226">
        <v>7750.9132420091328</v>
      </c>
      <c r="AZ500" s="13">
        <v>0</v>
      </c>
      <c r="BA500" s="13"/>
      <c r="BB500" s="13"/>
      <c r="BC500" s="13">
        <v>-749.08675799086757</v>
      </c>
      <c r="BD500" s="13"/>
      <c r="BE500" s="13" t="s">
        <v>114</v>
      </c>
      <c r="BF500" s="29"/>
      <c r="BG500" s="13"/>
      <c r="BH500" s="13">
        <f>-FAR[[#This Row],[Carrying value (opening balance)]]/FAR[[#This Row],[Opening RUL 30 June 2026]]</f>
        <v>-1416.6666666666667</v>
      </c>
      <c r="BI500" s="13">
        <f>FAR[[#This Row],[Depreciation YTD]]/12</f>
        <v>-118.05555555555556</v>
      </c>
      <c r="BJ500" s="13"/>
      <c r="BK500" s="13" t="s">
        <v>116</v>
      </c>
      <c r="BL500" s="13">
        <v>0</v>
      </c>
      <c r="BM500" s="13">
        <f>FAR[[#This Row],[Accumulated depreciation (Opening balance)]]+FAR[[#This Row],[Depreciation YTD]]+FAR[[#This Row],[Derecognitions (acc dep) '[+']]]</f>
        <v>-2165.7534246575342</v>
      </c>
      <c r="BN500" s="13"/>
      <c r="BO500" s="13"/>
      <c r="BP500" s="13"/>
      <c r="BQ500" s="13"/>
      <c r="BR50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00" s="13">
        <f>FAR[[#This Row],[Cost Price (closing balance)]]+FAR[[#This Row],[Accumulated depreciation (Closing balance)]]+FAR[[#This Row],[Accumulated impairments (Closing balance)]]</f>
        <v>6334.2465753424658</v>
      </c>
      <c r="BT500" s="13">
        <f>FAR[[#This Row],[Accumulated depreciation (Opening balance)]]</f>
        <v>-749.08675799086757</v>
      </c>
      <c r="BU500" s="13"/>
      <c r="BV500" s="13"/>
      <c r="BW500" s="10"/>
      <c r="BX500" s="9"/>
      <c r="BY500" s="10"/>
      <c r="BZ500"/>
      <c r="CA500"/>
      <c r="CB500" s="34"/>
      <c r="CC500" s="34"/>
      <c r="CD500" s="34"/>
      <c r="CE500" s="141">
        <f>FAR[[#This Row],[Additions capitalised (@actual cost)]]/FAR[[#This Row],[EUL]]</f>
        <v>0</v>
      </c>
    </row>
    <row r="501" spans="1:83">
      <c r="A501" s="35" t="s">
        <v>1085</v>
      </c>
      <c r="B501" s="9" t="s">
        <v>1121</v>
      </c>
      <c r="C501" s="9" t="s">
        <v>54</v>
      </c>
      <c r="D501" s="10" t="s">
        <v>1</v>
      </c>
      <c r="E501" s="9" t="s">
        <v>115</v>
      </c>
      <c r="F501" s="36" t="s">
        <v>99</v>
      </c>
      <c r="G501" s="9" t="s">
        <v>100</v>
      </c>
      <c r="H501" s="3" t="s">
        <v>623</v>
      </c>
      <c r="I501" s="9" t="s">
        <v>100</v>
      </c>
      <c r="J501" s="36" t="s">
        <v>101</v>
      </c>
      <c r="K501" s="10" t="s">
        <v>559</v>
      </c>
      <c r="L501" s="10" t="s">
        <v>559</v>
      </c>
      <c r="M501" s="9" t="s">
        <v>100</v>
      </c>
      <c r="N501" s="10" t="s">
        <v>1128</v>
      </c>
      <c r="O501" s="9" t="s">
        <v>100</v>
      </c>
      <c r="P501" s="10"/>
      <c r="Q501" s="10" t="s">
        <v>1128</v>
      </c>
      <c r="R501" s="10" t="s">
        <v>119</v>
      </c>
      <c r="S501" s="10" t="s">
        <v>130</v>
      </c>
      <c r="T501" s="10" t="s">
        <v>120</v>
      </c>
      <c r="U501" s="10" t="s">
        <v>101</v>
      </c>
      <c r="V501" s="10" t="s">
        <v>121</v>
      </c>
      <c r="W501" s="10" t="s">
        <v>122</v>
      </c>
      <c r="X501" s="10" t="s">
        <v>123</v>
      </c>
      <c r="Y501" s="29">
        <v>1</v>
      </c>
      <c r="Z501" s="138" t="s">
        <v>1143</v>
      </c>
      <c r="AA501" s="138">
        <v>45554</v>
      </c>
      <c r="AB501" s="9" t="s">
        <v>114</v>
      </c>
      <c r="AC501" s="9" t="s">
        <v>124</v>
      </c>
      <c r="AD501" s="15">
        <v>45747</v>
      </c>
      <c r="AE501" s="39" t="s">
        <v>125</v>
      </c>
      <c r="AF501" s="177">
        <v>6</v>
      </c>
      <c r="AG501" s="140">
        <v>0</v>
      </c>
      <c r="AH501" s="9">
        <v>0</v>
      </c>
      <c r="AI501" s="10" t="s">
        <v>126</v>
      </c>
      <c r="AJ501" s="10">
        <f>FAR[[#This Row],[Reporting date]]-FAR[[#This Row],[Take-On Date '[dd-mm-yy']]]</f>
        <v>193</v>
      </c>
      <c r="AK501" s="29">
        <f>FAR[[#This Row],[Years utilised in Days ]]/365</f>
        <v>0.52876712328767128</v>
      </c>
      <c r="AL501" s="12">
        <v>5.4712328767123291</v>
      </c>
      <c r="AM501" s="10">
        <v>0</v>
      </c>
      <c r="AN501" s="12">
        <f>FAR[[#This Row],[Opening RUL]]+FAR[[#This Row],[RUL Adjustment]]</f>
        <v>5.4712328767123291</v>
      </c>
      <c r="AO501" s="12">
        <f>FAR[[#This Row],[EUL]]-FAR[[#This Row],[Years utilised in Years]]</f>
        <v>5.4712328767123291</v>
      </c>
      <c r="AP501" s="12" t="s">
        <v>1070</v>
      </c>
      <c r="AQ501" s="139"/>
      <c r="AR501" s="10" t="s">
        <v>127</v>
      </c>
      <c r="AS501" s="13">
        <v>11400</v>
      </c>
      <c r="AT501" s="13"/>
      <c r="AU501" s="13"/>
      <c r="AV501" s="13"/>
      <c r="AW501" s="13"/>
      <c r="AX501" s="13">
        <v>11400</v>
      </c>
      <c r="AY501" s="226">
        <v>10395.342465753425</v>
      </c>
      <c r="AZ501" s="13">
        <v>0</v>
      </c>
      <c r="BA501" s="13"/>
      <c r="BB501" s="13"/>
      <c r="BC501" s="13">
        <v>-1004.6575342465754</v>
      </c>
      <c r="BD501" s="13"/>
      <c r="BE501" s="13" t="s">
        <v>114</v>
      </c>
      <c r="BF501" s="29"/>
      <c r="BG501" s="13"/>
      <c r="BH501" s="13">
        <f>-FAR[[#This Row],[Carrying value (opening balance)]]/FAR[[#This Row],[Opening RUL 30 June 2026]]</f>
        <v>-1900</v>
      </c>
      <c r="BI501" s="13">
        <f>FAR[[#This Row],[Depreciation YTD]]/12</f>
        <v>-158.33333333333334</v>
      </c>
      <c r="BJ501" s="13"/>
      <c r="BK501" s="13" t="s">
        <v>116</v>
      </c>
      <c r="BL501" s="13">
        <v>0</v>
      </c>
      <c r="BM501" s="13">
        <f>FAR[[#This Row],[Accumulated depreciation (Opening balance)]]+FAR[[#This Row],[Depreciation YTD]]+FAR[[#This Row],[Derecognitions (acc dep) '[+']]]</f>
        <v>-2904.6575342465753</v>
      </c>
      <c r="BN501" s="13"/>
      <c r="BO501" s="13"/>
      <c r="BP501" s="13"/>
      <c r="BQ501" s="13"/>
      <c r="BR50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01" s="13">
        <f>FAR[[#This Row],[Cost Price (closing balance)]]+FAR[[#This Row],[Accumulated depreciation (Closing balance)]]+FAR[[#This Row],[Accumulated impairments (Closing balance)]]</f>
        <v>8495.3424657534251</v>
      </c>
      <c r="BT501" s="13">
        <f>FAR[[#This Row],[Accumulated depreciation (Opening balance)]]</f>
        <v>-1004.6575342465754</v>
      </c>
      <c r="BU501" s="13"/>
      <c r="BV501" s="13"/>
      <c r="BW501" s="10"/>
      <c r="BX501" s="9"/>
      <c r="BY501" s="10"/>
      <c r="BZ501"/>
      <c r="CA501"/>
      <c r="CB501" s="34"/>
      <c r="CC501" s="34"/>
      <c r="CD501" s="34"/>
      <c r="CE501" s="141">
        <f>FAR[[#This Row],[Additions capitalised (@actual cost)]]/FAR[[#This Row],[EUL]]</f>
        <v>0</v>
      </c>
    </row>
    <row r="502" spans="1:83">
      <c r="A502" s="35" t="s">
        <v>1083</v>
      </c>
      <c r="B502" s="9">
        <v>32</v>
      </c>
      <c r="C502" s="9" t="s">
        <v>54</v>
      </c>
      <c r="D502" s="10" t="s">
        <v>1</v>
      </c>
      <c r="E502" s="9" t="s">
        <v>115</v>
      </c>
      <c r="F502" s="36" t="s">
        <v>99</v>
      </c>
      <c r="G502" s="9" t="s">
        <v>100</v>
      </c>
      <c r="H502" s="3" t="s">
        <v>623</v>
      </c>
      <c r="I502" s="9" t="s">
        <v>100</v>
      </c>
      <c r="J502" s="36" t="s">
        <v>101</v>
      </c>
      <c r="K502" s="10" t="s">
        <v>559</v>
      </c>
      <c r="L502" s="10" t="s">
        <v>559</v>
      </c>
      <c r="M502" s="9" t="s">
        <v>100</v>
      </c>
      <c r="N502" s="10" t="s">
        <v>1144</v>
      </c>
      <c r="O502" s="9" t="s">
        <v>100</v>
      </c>
      <c r="P502" s="10"/>
      <c r="Q502" s="10" t="s">
        <v>1144</v>
      </c>
      <c r="R502" s="10" t="s">
        <v>119</v>
      </c>
      <c r="S502" s="10" t="s">
        <v>130</v>
      </c>
      <c r="T502" s="10" t="s">
        <v>120</v>
      </c>
      <c r="U502" s="10" t="s">
        <v>101</v>
      </c>
      <c r="V502" s="10" t="s">
        <v>121</v>
      </c>
      <c r="W502" s="10" t="s">
        <v>122</v>
      </c>
      <c r="X502" s="10" t="s">
        <v>123</v>
      </c>
      <c r="Y502" s="29">
        <v>1</v>
      </c>
      <c r="Z502" s="138" t="s">
        <v>1143</v>
      </c>
      <c r="AA502" s="138">
        <v>45554</v>
      </c>
      <c r="AB502" s="9" t="s">
        <v>114</v>
      </c>
      <c r="AC502" s="9" t="s">
        <v>124</v>
      </c>
      <c r="AD502" s="15">
        <v>45747</v>
      </c>
      <c r="AE502" s="39" t="s">
        <v>125</v>
      </c>
      <c r="AF502" s="177">
        <v>6</v>
      </c>
      <c r="AG502" s="140">
        <v>0</v>
      </c>
      <c r="AH502" s="9">
        <v>0</v>
      </c>
      <c r="AI502" s="10" t="s">
        <v>126</v>
      </c>
      <c r="AJ502" s="10">
        <f>FAR[[#This Row],[Reporting date]]-FAR[[#This Row],[Take-On Date '[dd-mm-yy']]]</f>
        <v>193</v>
      </c>
      <c r="AK502" s="29">
        <f>FAR[[#This Row],[Years utilised in Days ]]/365</f>
        <v>0.52876712328767128</v>
      </c>
      <c r="AL502" s="12">
        <v>5.4712328767123291</v>
      </c>
      <c r="AM502" s="10">
        <v>0</v>
      </c>
      <c r="AN502" s="12">
        <f>FAR[[#This Row],[Opening RUL]]+FAR[[#This Row],[RUL Adjustment]]</f>
        <v>5.4712328767123291</v>
      </c>
      <c r="AO502" s="12">
        <f>FAR[[#This Row],[EUL]]-FAR[[#This Row],[Years utilised in Years]]</f>
        <v>5.4712328767123291</v>
      </c>
      <c r="AP502" s="12" t="s">
        <v>1070</v>
      </c>
      <c r="AQ502" s="139"/>
      <c r="AR502" s="10" t="s">
        <v>127</v>
      </c>
      <c r="AS502" s="13">
        <v>10800</v>
      </c>
      <c r="AT502" s="13"/>
      <c r="AU502" s="13"/>
      <c r="AV502" s="13"/>
      <c r="AW502" s="13"/>
      <c r="AX502" s="13">
        <v>10800</v>
      </c>
      <c r="AY502" s="226">
        <v>9848.2191780821922</v>
      </c>
      <c r="AZ502" s="13">
        <v>0</v>
      </c>
      <c r="BA502" s="13"/>
      <c r="BB502" s="13"/>
      <c r="BC502" s="13">
        <v>-951.78082191780823</v>
      </c>
      <c r="BD502" s="13"/>
      <c r="BE502" s="13" t="s">
        <v>114</v>
      </c>
      <c r="BF502" s="29"/>
      <c r="BG502" s="13"/>
      <c r="BH502" s="13">
        <f>-FAR[[#This Row],[Carrying value (opening balance)]]/FAR[[#This Row],[Opening RUL 30 June 2026]]</f>
        <v>-1800</v>
      </c>
      <c r="BI502" s="13">
        <f>FAR[[#This Row],[Depreciation YTD]]/12</f>
        <v>-150</v>
      </c>
      <c r="BJ502" s="13"/>
      <c r="BK502" s="13" t="s">
        <v>116</v>
      </c>
      <c r="BL502" s="13">
        <v>0</v>
      </c>
      <c r="BM502" s="13">
        <f>FAR[[#This Row],[Accumulated depreciation (Opening balance)]]+FAR[[#This Row],[Depreciation YTD]]+FAR[[#This Row],[Derecognitions (acc dep) '[+']]]</f>
        <v>-2751.7808219178082</v>
      </c>
      <c r="BN502" s="13"/>
      <c r="BO502" s="13"/>
      <c r="BP502" s="13"/>
      <c r="BQ502" s="13"/>
      <c r="BR50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02" s="13">
        <f>FAR[[#This Row],[Cost Price (closing balance)]]+FAR[[#This Row],[Accumulated depreciation (Closing balance)]]+FAR[[#This Row],[Accumulated impairments (Closing balance)]]</f>
        <v>8048.2191780821922</v>
      </c>
      <c r="BT502" s="13">
        <f>FAR[[#This Row],[Accumulated depreciation (Opening balance)]]</f>
        <v>-951.78082191780823</v>
      </c>
      <c r="BU502" s="13"/>
      <c r="BV502" s="13"/>
      <c r="BW502" s="10"/>
      <c r="BX502" s="9"/>
      <c r="BY502" s="10"/>
      <c r="BZ502"/>
      <c r="CA502"/>
      <c r="CB502" s="34"/>
      <c r="CC502" s="34"/>
      <c r="CD502" s="34"/>
      <c r="CE502" s="141">
        <f>FAR[[#This Row],[Additions capitalised (@actual cost)]]/FAR[[#This Row],[EUL]]</f>
        <v>0</v>
      </c>
    </row>
    <row r="503" spans="1:83">
      <c r="A503" s="35" t="s">
        <v>1086</v>
      </c>
      <c r="B503" s="9" t="s">
        <v>858</v>
      </c>
      <c r="C503" s="9" t="s">
        <v>54</v>
      </c>
      <c r="D503" s="10" t="s">
        <v>1</v>
      </c>
      <c r="E503" s="9" t="s">
        <v>115</v>
      </c>
      <c r="F503" s="36" t="s">
        <v>99</v>
      </c>
      <c r="G503" s="9" t="s">
        <v>100</v>
      </c>
      <c r="H503" s="3" t="s">
        <v>103</v>
      </c>
      <c r="I503" s="9" t="s">
        <v>100</v>
      </c>
      <c r="J503" s="36" t="s">
        <v>101</v>
      </c>
      <c r="K503" s="10" t="s">
        <v>559</v>
      </c>
      <c r="L503" s="10" t="s">
        <v>559</v>
      </c>
      <c r="M503" s="9" t="s">
        <v>100</v>
      </c>
      <c r="N503" s="10" t="s">
        <v>1145</v>
      </c>
      <c r="O503" s="9" t="s">
        <v>100</v>
      </c>
      <c r="P503" s="10"/>
      <c r="Q503" s="10" t="s">
        <v>1145</v>
      </c>
      <c r="R503" s="10" t="s">
        <v>119</v>
      </c>
      <c r="S503" s="10" t="s">
        <v>130</v>
      </c>
      <c r="T503" s="10" t="s">
        <v>120</v>
      </c>
      <c r="U503" s="10" t="s">
        <v>101</v>
      </c>
      <c r="V503" s="10" t="s">
        <v>121</v>
      </c>
      <c r="W503" s="10" t="s">
        <v>122</v>
      </c>
      <c r="X503" s="10" t="s">
        <v>123</v>
      </c>
      <c r="Y503" s="29">
        <v>1</v>
      </c>
      <c r="Z503" s="138" t="s">
        <v>1150</v>
      </c>
      <c r="AA503" s="138">
        <v>45706</v>
      </c>
      <c r="AB503" s="9" t="s">
        <v>114</v>
      </c>
      <c r="AC503" s="9" t="s">
        <v>124</v>
      </c>
      <c r="AD503" s="15">
        <v>45747</v>
      </c>
      <c r="AE503" s="39" t="s">
        <v>125</v>
      </c>
      <c r="AF503" s="177">
        <v>6</v>
      </c>
      <c r="AG503" s="140">
        <v>0</v>
      </c>
      <c r="AH503" s="9">
        <v>0</v>
      </c>
      <c r="AI503" s="10" t="s">
        <v>126</v>
      </c>
      <c r="AJ503" s="10">
        <f>FAR[[#This Row],[Reporting date]]-FAR[[#This Row],[Take-On Date '[dd-mm-yy']]]</f>
        <v>41</v>
      </c>
      <c r="AK503" s="29">
        <f>FAR[[#This Row],[Years utilised in Days ]]/365</f>
        <v>0.11232876712328767</v>
      </c>
      <c r="AL503" s="12">
        <v>5.8876712328767127</v>
      </c>
      <c r="AM503" s="10">
        <v>0</v>
      </c>
      <c r="AN503" s="12">
        <f>FAR[[#This Row],[Opening RUL]]+FAR[[#This Row],[RUL Adjustment]]</f>
        <v>5.8876712328767127</v>
      </c>
      <c r="AO503" s="12">
        <f>FAR[[#This Row],[EUL]]-FAR[[#This Row],[Years utilised in Years]]</f>
        <v>5.8876712328767127</v>
      </c>
      <c r="AP503" s="12" t="s">
        <v>1054</v>
      </c>
      <c r="AQ503" s="139"/>
      <c r="AR503" s="10" t="s">
        <v>127</v>
      </c>
      <c r="AS503" s="13">
        <v>26291</v>
      </c>
      <c r="AT503" s="13"/>
      <c r="AU503" s="13"/>
      <c r="AV503" s="13"/>
      <c r="AW503" s="13"/>
      <c r="AX503" s="13">
        <v>26291</v>
      </c>
      <c r="AY503" s="226">
        <v>25798.79406392694</v>
      </c>
      <c r="AZ503" s="13">
        <v>0</v>
      </c>
      <c r="BA503" s="13"/>
      <c r="BB503" s="13"/>
      <c r="BC503" s="13">
        <v>-492.20593607305932</v>
      </c>
      <c r="BD503" s="13"/>
      <c r="BE503" s="13" t="s">
        <v>114</v>
      </c>
      <c r="BF503" s="29"/>
      <c r="BG503" s="13"/>
      <c r="BH503" s="13">
        <f>-FAR[[#This Row],[Carrying value (opening balance)]]/FAR[[#This Row],[Opening RUL 30 June 2026]]</f>
        <v>-4381.833333333333</v>
      </c>
      <c r="BI503" s="13">
        <f>FAR[[#This Row],[Depreciation YTD]]/12</f>
        <v>-365.15277777777777</v>
      </c>
      <c r="BJ503" s="13"/>
      <c r="BK503" s="13" t="s">
        <v>116</v>
      </c>
      <c r="BL503" s="13">
        <v>0</v>
      </c>
      <c r="BM503" s="13">
        <f>FAR[[#This Row],[Accumulated depreciation (Opening balance)]]+FAR[[#This Row],[Depreciation YTD]]+FAR[[#This Row],[Derecognitions (acc dep) '[+']]]</f>
        <v>-4874.0392694063921</v>
      </c>
      <c r="BN503" s="13"/>
      <c r="BO503" s="13"/>
      <c r="BP503" s="13"/>
      <c r="BQ503" s="13"/>
      <c r="BR50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03" s="13">
        <f>FAR[[#This Row],[Cost Price (closing balance)]]+FAR[[#This Row],[Accumulated depreciation (Closing balance)]]+FAR[[#This Row],[Accumulated impairments (Closing balance)]]</f>
        <v>21416.960730593608</v>
      </c>
      <c r="BT503" s="13">
        <f>FAR[[#This Row],[Accumulated depreciation (Opening balance)]]</f>
        <v>-492.20593607305932</v>
      </c>
      <c r="BU503" s="13"/>
      <c r="BV503" s="13"/>
      <c r="BW503" s="10"/>
      <c r="BX503" s="9"/>
      <c r="BY503" s="10"/>
      <c r="BZ503"/>
      <c r="CA503"/>
      <c r="CB503" s="34"/>
      <c r="CC503" s="34"/>
      <c r="CD503" s="34"/>
      <c r="CE503" s="141">
        <f>FAR[[#This Row],[Additions capitalised (@actual cost)]]/FAR[[#This Row],[EUL]]</f>
        <v>0</v>
      </c>
    </row>
    <row r="504" spans="1:83">
      <c r="A504" s="35" t="s">
        <v>1087</v>
      </c>
      <c r="B504" s="9" t="s">
        <v>1122</v>
      </c>
      <c r="C504" s="9" t="s">
        <v>54</v>
      </c>
      <c r="D504" s="10" t="s">
        <v>1</v>
      </c>
      <c r="E504" s="9" t="s">
        <v>115</v>
      </c>
      <c r="F504" s="36" t="s">
        <v>99</v>
      </c>
      <c r="G504" s="9" t="s">
        <v>100</v>
      </c>
      <c r="H504" s="3" t="s">
        <v>103</v>
      </c>
      <c r="I504" s="9" t="s">
        <v>100</v>
      </c>
      <c r="J504" s="36" t="s">
        <v>101</v>
      </c>
      <c r="K504" s="10" t="s">
        <v>559</v>
      </c>
      <c r="L504" s="10" t="s">
        <v>559</v>
      </c>
      <c r="M504" s="9" t="s">
        <v>100</v>
      </c>
      <c r="N504" s="10" t="s">
        <v>1129</v>
      </c>
      <c r="O504" s="9" t="s">
        <v>100</v>
      </c>
      <c r="P504" s="10"/>
      <c r="Q504" s="10" t="s">
        <v>1129</v>
      </c>
      <c r="R504" s="10" t="s">
        <v>119</v>
      </c>
      <c r="S504" s="10" t="s">
        <v>130</v>
      </c>
      <c r="T504" s="10" t="s">
        <v>120</v>
      </c>
      <c r="U504" s="10" t="s">
        <v>101</v>
      </c>
      <c r="V504" s="10" t="s">
        <v>121</v>
      </c>
      <c r="W504" s="10" t="s">
        <v>122</v>
      </c>
      <c r="X504" s="10" t="s">
        <v>123</v>
      </c>
      <c r="Y504" s="29">
        <v>1</v>
      </c>
      <c r="Z504" s="138" t="s">
        <v>1153</v>
      </c>
      <c r="AA504" s="138">
        <v>45453</v>
      </c>
      <c r="AB504" s="9" t="s">
        <v>114</v>
      </c>
      <c r="AC504" s="9" t="s">
        <v>124</v>
      </c>
      <c r="AD504" s="15">
        <v>45747</v>
      </c>
      <c r="AE504" s="39" t="s">
        <v>125</v>
      </c>
      <c r="AF504" s="177">
        <v>6</v>
      </c>
      <c r="AG504" s="140">
        <v>0</v>
      </c>
      <c r="AH504" s="9">
        <v>0</v>
      </c>
      <c r="AI504" s="10" t="s">
        <v>126</v>
      </c>
      <c r="AJ504" s="10">
        <f>FAR[[#This Row],[Reporting date]]-FAR[[#This Row],[Take-On Date '[dd-mm-yy']]]</f>
        <v>294</v>
      </c>
      <c r="AK504" s="29">
        <f>FAR[[#This Row],[Years utilised in Days ]]/365</f>
        <v>0.80547945205479454</v>
      </c>
      <c r="AL504" s="12">
        <v>5.1945205479452055</v>
      </c>
      <c r="AM504" s="10">
        <v>0</v>
      </c>
      <c r="AN504" s="12">
        <f>FAR[[#This Row],[Opening RUL]]+FAR[[#This Row],[RUL Adjustment]]</f>
        <v>5.1945205479452055</v>
      </c>
      <c r="AO504" s="12">
        <f>FAR[[#This Row],[EUL]]-FAR[[#This Row],[Years utilised in Years]]</f>
        <v>5.1945205479452055</v>
      </c>
      <c r="AP504" s="12" t="s">
        <v>1054</v>
      </c>
      <c r="AQ504" s="139"/>
      <c r="AR504" s="10" t="s">
        <v>127</v>
      </c>
      <c r="AS504" s="13">
        <v>29000</v>
      </c>
      <c r="AT504" s="13"/>
      <c r="AU504" s="13"/>
      <c r="AV504" s="13"/>
      <c r="AW504" s="13"/>
      <c r="AX504" s="13">
        <v>29000</v>
      </c>
      <c r="AY504" s="226">
        <v>25106.849315068492</v>
      </c>
      <c r="AZ504" s="13">
        <v>0</v>
      </c>
      <c r="BA504" s="13"/>
      <c r="BB504" s="13"/>
      <c r="BC504" s="13">
        <v>-3893.1506849315069</v>
      </c>
      <c r="BD504" s="13"/>
      <c r="BE504" s="13" t="s">
        <v>114</v>
      </c>
      <c r="BF504" s="29"/>
      <c r="BG504" s="13"/>
      <c r="BH504" s="13">
        <f>-FAR[[#This Row],[Carrying value (opening balance)]]/FAR[[#This Row],[Opening RUL 30 June 2026]]</f>
        <v>-4833.333333333333</v>
      </c>
      <c r="BI504" s="13">
        <f>FAR[[#This Row],[Depreciation YTD]]/12</f>
        <v>-402.77777777777777</v>
      </c>
      <c r="BJ504" s="13"/>
      <c r="BK504" s="13" t="s">
        <v>116</v>
      </c>
      <c r="BL504" s="13">
        <v>0</v>
      </c>
      <c r="BM504" s="13">
        <f>FAR[[#This Row],[Accumulated depreciation (Opening balance)]]+FAR[[#This Row],[Depreciation YTD]]+FAR[[#This Row],[Derecognitions (acc dep) '[+']]]</f>
        <v>-8726.4840182648404</v>
      </c>
      <c r="BN504" s="13"/>
      <c r="BO504" s="13"/>
      <c r="BP504" s="13"/>
      <c r="BQ504" s="13"/>
      <c r="BR50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04" s="13">
        <f>FAR[[#This Row],[Cost Price (closing balance)]]+FAR[[#This Row],[Accumulated depreciation (Closing balance)]]+FAR[[#This Row],[Accumulated impairments (Closing balance)]]</f>
        <v>20273.51598173516</v>
      </c>
      <c r="BT504" s="13">
        <f>FAR[[#This Row],[Accumulated depreciation (Opening balance)]]</f>
        <v>-3893.1506849315069</v>
      </c>
      <c r="BU504" s="13"/>
      <c r="BV504" s="13"/>
      <c r="BW504" s="10"/>
      <c r="BX504" s="9"/>
      <c r="BY504" s="10"/>
      <c r="BZ504"/>
      <c r="CA504" t="s">
        <v>1132</v>
      </c>
      <c r="CB504" s="34"/>
      <c r="CC504" s="34"/>
      <c r="CD504" s="34"/>
      <c r="CE504" s="141">
        <f>FAR[[#This Row],[Additions capitalised (@actual cost)]]/FAR[[#This Row],[EUL]]</f>
        <v>0</v>
      </c>
    </row>
    <row r="505" spans="1:83">
      <c r="A505" s="35" t="s">
        <v>1088</v>
      </c>
      <c r="B505" s="9" t="s">
        <v>929</v>
      </c>
      <c r="C505" s="9" t="s">
        <v>54</v>
      </c>
      <c r="D505" s="10" t="s">
        <v>1</v>
      </c>
      <c r="E505" s="9" t="s">
        <v>115</v>
      </c>
      <c r="F505" s="36" t="s">
        <v>99</v>
      </c>
      <c r="G505" s="9" t="s">
        <v>100</v>
      </c>
      <c r="H505" s="3" t="s">
        <v>103</v>
      </c>
      <c r="I505" s="9" t="s">
        <v>100</v>
      </c>
      <c r="J505" s="36" t="s">
        <v>101</v>
      </c>
      <c r="K505" s="10" t="s">
        <v>559</v>
      </c>
      <c r="L505" s="10" t="s">
        <v>559</v>
      </c>
      <c r="M505" s="9" t="s">
        <v>100</v>
      </c>
      <c r="N505" s="10" t="s">
        <v>836</v>
      </c>
      <c r="O505" s="9" t="s">
        <v>100</v>
      </c>
      <c r="P505" s="10"/>
      <c r="Q505" s="10" t="s">
        <v>836</v>
      </c>
      <c r="R505" s="10" t="s">
        <v>119</v>
      </c>
      <c r="S505" s="10" t="s">
        <v>130</v>
      </c>
      <c r="T505" s="10" t="s">
        <v>120</v>
      </c>
      <c r="U505" s="10" t="s">
        <v>101</v>
      </c>
      <c r="V505" s="10" t="s">
        <v>121</v>
      </c>
      <c r="W505" s="10" t="s">
        <v>122</v>
      </c>
      <c r="X505" s="10" t="s">
        <v>123</v>
      </c>
      <c r="Y505" s="29">
        <v>1</v>
      </c>
      <c r="Z505" s="138" t="s">
        <v>1153</v>
      </c>
      <c r="AA505" s="138">
        <v>45453</v>
      </c>
      <c r="AB505" s="9" t="s">
        <v>114</v>
      </c>
      <c r="AC505" s="9" t="s">
        <v>124</v>
      </c>
      <c r="AD505" s="15">
        <v>45747</v>
      </c>
      <c r="AE505" s="39" t="s">
        <v>125</v>
      </c>
      <c r="AF505" s="177">
        <v>6</v>
      </c>
      <c r="AG505" s="140">
        <v>0</v>
      </c>
      <c r="AH505" s="9">
        <v>0</v>
      </c>
      <c r="AI505" s="10" t="s">
        <v>126</v>
      </c>
      <c r="AJ505" s="10">
        <f>FAR[[#This Row],[Reporting date]]-FAR[[#This Row],[Take-On Date '[dd-mm-yy']]]</f>
        <v>294</v>
      </c>
      <c r="AK505" s="29">
        <f>FAR[[#This Row],[Years utilised in Days ]]/365</f>
        <v>0.80547945205479454</v>
      </c>
      <c r="AL505" s="12">
        <v>5.1945205479452055</v>
      </c>
      <c r="AM505" s="10">
        <v>0</v>
      </c>
      <c r="AN505" s="12">
        <f>FAR[[#This Row],[Opening RUL]]+FAR[[#This Row],[RUL Adjustment]]</f>
        <v>5.1945205479452055</v>
      </c>
      <c r="AO505" s="12">
        <f>FAR[[#This Row],[EUL]]-FAR[[#This Row],[Years utilised in Years]]</f>
        <v>5.1945205479452055</v>
      </c>
      <c r="AP505" s="12" t="s">
        <v>1054</v>
      </c>
      <c r="AQ505" s="139"/>
      <c r="AR505" s="10" t="s">
        <v>127</v>
      </c>
      <c r="AS505" s="13">
        <v>29000</v>
      </c>
      <c r="AT505" s="13"/>
      <c r="AU505" s="13"/>
      <c r="AV505" s="13"/>
      <c r="AW505" s="13"/>
      <c r="AX505" s="13">
        <v>29000</v>
      </c>
      <c r="AY505" s="226">
        <v>25106.849315068492</v>
      </c>
      <c r="AZ505" s="13">
        <v>0</v>
      </c>
      <c r="BA505" s="13"/>
      <c r="BB505" s="13"/>
      <c r="BC505" s="13">
        <v>-3893.1506849315069</v>
      </c>
      <c r="BD505" s="13"/>
      <c r="BE505" s="13" t="s">
        <v>114</v>
      </c>
      <c r="BF505" s="29"/>
      <c r="BG505" s="13"/>
      <c r="BH505" s="13">
        <f>-FAR[[#This Row],[Carrying value (opening balance)]]/FAR[[#This Row],[Opening RUL 30 June 2026]]</f>
        <v>-4833.333333333333</v>
      </c>
      <c r="BI505" s="13">
        <f>FAR[[#This Row],[Depreciation YTD]]/12</f>
        <v>-402.77777777777777</v>
      </c>
      <c r="BJ505" s="13"/>
      <c r="BK505" s="13" t="s">
        <v>116</v>
      </c>
      <c r="BL505" s="13">
        <v>0</v>
      </c>
      <c r="BM505" s="13">
        <f>FAR[[#This Row],[Accumulated depreciation (Opening balance)]]+FAR[[#This Row],[Depreciation YTD]]+FAR[[#This Row],[Derecognitions (acc dep) '[+']]]</f>
        <v>-8726.4840182648404</v>
      </c>
      <c r="BN505" s="13"/>
      <c r="BO505" s="13"/>
      <c r="BP505" s="13"/>
      <c r="BQ505" s="13"/>
      <c r="BR50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05" s="13">
        <f>FAR[[#This Row],[Cost Price (closing balance)]]+FAR[[#This Row],[Accumulated depreciation (Closing balance)]]+FAR[[#This Row],[Accumulated impairments (Closing balance)]]</f>
        <v>20273.51598173516</v>
      </c>
      <c r="BT505" s="13">
        <f>FAR[[#This Row],[Accumulated depreciation (Opening balance)]]</f>
        <v>-3893.1506849315069</v>
      </c>
      <c r="BU505" s="13"/>
      <c r="BV505" s="13"/>
      <c r="BW505" s="10"/>
      <c r="BX505" s="9"/>
      <c r="BY505" s="10"/>
      <c r="BZ505"/>
      <c r="CA505" t="s">
        <v>1133</v>
      </c>
      <c r="CB505" s="34"/>
      <c r="CC505" s="34"/>
      <c r="CD505" s="34"/>
      <c r="CE505" s="141">
        <f>FAR[[#This Row],[Additions capitalised (@actual cost)]]/FAR[[#This Row],[EUL]]</f>
        <v>0</v>
      </c>
    </row>
    <row r="506" spans="1:83">
      <c r="A506" s="35" t="s">
        <v>1089</v>
      </c>
      <c r="B506" s="9" t="s">
        <v>1123</v>
      </c>
      <c r="C506" s="9" t="s">
        <v>54</v>
      </c>
      <c r="D506" s="10" t="s">
        <v>1</v>
      </c>
      <c r="E506" s="9" t="s">
        <v>115</v>
      </c>
      <c r="F506" s="36" t="s">
        <v>99</v>
      </c>
      <c r="G506" s="9" t="s">
        <v>100</v>
      </c>
      <c r="H506" s="3" t="s">
        <v>103</v>
      </c>
      <c r="I506" s="9" t="s">
        <v>100</v>
      </c>
      <c r="J506" s="36" t="s">
        <v>101</v>
      </c>
      <c r="K506" s="10" t="s">
        <v>559</v>
      </c>
      <c r="L506" s="10" t="s">
        <v>559</v>
      </c>
      <c r="M506" s="9" t="s">
        <v>100</v>
      </c>
      <c r="N506" s="10" t="s">
        <v>1130</v>
      </c>
      <c r="O506" s="9" t="s">
        <v>100</v>
      </c>
      <c r="P506" s="10"/>
      <c r="Q506" s="10" t="s">
        <v>1130</v>
      </c>
      <c r="R506" s="10" t="s">
        <v>119</v>
      </c>
      <c r="S506" s="10" t="s">
        <v>130</v>
      </c>
      <c r="T506" s="10" t="s">
        <v>120</v>
      </c>
      <c r="U506" s="10" t="s">
        <v>101</v>
      </c>
      <c r="V506" s="10" t="s">
        <v>121</v>
      </c>
      <c r="W506" s="10" t="s">
        <v>122</v>
      </c>
      <c r="X506" s="10" t="s">
        <v>123</v>
      </c>
      <c r="Y506" s="29">
        <v>1</v>
      </c>
      <c r="Z506" s="138" t="s">
        <v>1150</v>
      </c>
      <c r="AA506" s="138">
        <v>45706</v>
      </c>
      <c r="AB506" s="9" t="s">
        <v>114</v>
      </c>
      <c r="AC506" s="9" t="s">
        <v>124</v>
      </c>
      <c r="AD506" s="15">
        <v>45747</v>
      </c>
      <c r="AE506" s="39" t="s">
        <v>125</v>
      </c>
      <c r="AF506" s="177">
        <v>6</v>
      </c>
      <c r="AG506" s="140">
        <v>0</v>
      </c>
      <c r="AH506" s="9">
        <v>0</v>
      </c>
      <c r="AI506" s="10" t="s">
        <v>126</v>
      </c>
      <c r="AJ506" s="10">
        <f>FAR[[#This Row],[Reporting date]]-FAR[[#This Row],[Take-On Date '[dd-mm-yy']]]</f>
        <v>41</v>
      </c>
      <c r="AK506" s="29">
        <f>FAR[[#This Row],[Years utilised in Days ]]/365</f>
        <v>0.11232876712328767</v>
      </c>
      <c r="AL506" s="12">
        <v>5.8876712328767127</v>
      </c>
      <c r="AM506" s="10">
        <v>0</v>
      </c>
      <c r="AN506" s="12">
        <f>FAR[[#This Row],[Opening RUL]]+FAR[[#This Row],[RUL Adjustment]]</f>
        <v>5.8876712328767127</v>
      </c>
      <c r="AO506" s="12">
        <f>FAR[[#This Row],[EUL]]-FAR[[#This Row],[Years utilised in Years]]</f>
        <v>5.8876712328767127</v>
      </c>
      <c r="AP506" s="12" t="s">
        <v>1054</v>
      </c>
      <c r="AQ506" s="139"/>
      <c r="AR506" s="10" t="s">
        <v>127</v>
      </c>
      <c r="AS506" s="13">
        <v>26291</v>
      </c>
      <c r="AT506" s="13"/>
      <c r="AU506" s="13"/>
      <c r="AV506" s="13"/>
      <c r="AW506" s="13"/>
      <c r="AX506" s="13">
        <v>26291</v>
      </c>
      <c r="AY506" s="226">
        <v>25798.79406392694</v>
      </c>
      <c r="AZ506" s="13">
        <v>0</v>
      </c>
      <c r="BA506" s="13"/>
      <c r="BB506" s="13"/>
      <c r="BC506" s="13">
        <v>-492.20593607305932</v>
      </c>
      <c r="BD506" s="13"/>
      <c r="BE506" s="13" t="s">
        <v>114</v>
      </c>
      <c r="BF506" s="29"/>
      <c r="BG506" s="13"/>
      <c r="BH506" s="13">
        <f>-FAR[[#This Row],[Carrying value (opening balance)]]/FAR[[#This Row],[Opening RUL 30 June 2026]]</f>
        <v>-4381.833333333333</v>
      </c>
      <c r="BI506" s="13">
        <f>FAR[[#This Row],[Depreciation YTD]]/12</f>
        <v>-365.15277777777777</v>
      </c>
      <c r="BJ506" s="13"/>
      <c r="BK506" s="13" t="s">
        <v>116</v>
      </c>
      <c r="BL506" s="13">
        <v>0</v>
      </c>
      <c r="BM506" s="13">
        <f>FAR[[#This Row],[Accumulated depreciation (Opening balance)]]+FAR[[#This Row],[Depreciation YTD]]+FAR[[#This Row],[Derecognitions (acc dep) '[+']]]</f>
        <v>-4874.0392694063921</v>
      </c>
      <c r="BN506" s="13"/>
      <c r="BO506" s="13"/>
      <c r="BP506" s="13"/>
      <c r="BQ506" s="13"/>
      <c r="BR50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06" s="13">
        <f>FAR[[#This Row],[Cost Price (closing balance)]]+FAR[[#This Row],[Accumulated depreciation (Closing balance)]]+FAR[[#This Row],[Accumulated impairments (Closing balance)]]</f>
        <v>21416.960730593608</v>
      </c>
      <c r="BT506" s="13">
        <f>FAR[[#This Row],[Accumulated depreciation (Opening balance)]]</f>
        <v>-492.20593607305932</v>
      </c>
      <c r="BU506" s="13"/>
      <c r="BV506" s="13"/>
      <c r="BW506" s="10"/>
      <c r="BX506" s="9"/>
      <c r="BY506" s="10"/>
      <c r="BZ506"/>
      <c r="CA506" t="s">
        <v>1134</v>
      </c>
      <c r="CB506" s="34"/>
      <c r="CC506" s="34"/>
      <c r="CD506" s="34"/>
      <c r="CE506" s="141">
        <f>FAR[[#This Row],[Additions capitalised (@actual cost)]]/FAR[[#This Row],[EUL]]</f>
        <v>0</v>
      </c>
    </row>
    <row r="507" spans="1:83">
      <c r="A507" s="35" t="s">
        <v>1090</v>
      </c>
      <c r="B507" s="9" t="s">
        <v>924</v>
      </c>
      <c r="C507" s="9" t="s">
        <v>54</v>
      </c>
      <c r="D507" s="10" t="s">
        <v>1</v>
      </c>
      <c r="E507" s="9" t="s">
        <v>115</v>
      </c>
      <c r="F507" s="36" t="s">
        <v>99</v>
      </c>
      <c r="G507" s="9" t="s">
        <v>100</v>
      </c>
      <c r="H507" s="3" t="s">
        <v>103</v>
      </c>
      <c r="I507" s="9" t="s">
        <v>100</v>
      </c>
      <c r="J507" s="36" t="s">
        <v>101</v>
      </c>
      <c r="K507" s="10" t="s">
        <v>559</v>
      </c>
      <c r="L507" s="10" t="s">
        <v>559</v>
      </c>
      <c r="M507" s="9" t="s">
        <v>100</v>
      </c>
      <c r="N507" s="10" t="s">
        <v>715</v>
      </c>
      <c r="O507" s="9" t="s">
        <v>100</v>
      </c>
      <c r="P507" s="10"/>
      <c r="Q507" s="10" t="s">
        <v>715</v>
      </c>
      <c r="R507" s="10" t="s">
        <v>119</v>
      </c>
      <c r="S507" s="10" t="s">
        <v>130</v>
      </c>
      <c r="T507" s="10" t="s">
        <v>120</v>
      </c>
      <c r="U507" s="10" t="s">
        <v>101</v>
      </c>
      <c r="V507" s="10" t="s">
        <v>121</v>
      </c>
      <c r="W507" s="10" t="s">
        <v>122</v>
      </c>
      <c r="X507" s="10" t="s">
        <v>123</v>
      </c>
      <c r="Y507" s="29">
        <v>1</v>
      </c>
      <c r="Z507" s="138"/>
      <c r="AA507" s="138"/>
      <c r="AB507" s="9" t="s">
        <v>114</v>
      </c>
      <c r="AC507" s="9" t="s">
        <v>124</v>
      </c>
      <c r="AD507" s="15">
        <v>45747</v>
      </c>
      <c r="AE507" s="39" t="s">
        <v>125</v>
      </c>
      <c r="AF507" s="177">
        <v>6</v>
      </c>
      <c r="AG507" s="140">
        <v>0</v>
      </c>
      <c r="AH507" s="9">
        <v>0</v>
      </c>
      <c r="AI507" s="10" t="s">
        <v>126</v>
      </c>
      <c r="AJ507" s="10">
        <f>FAR[[#This Row],[Reporting date]]-FAR[[#This Row],[Take-On Date '[dd-mm-yy']]]</f>
        <v>45747</v>
      </c>
      <c r="AK507" s="29">
        <f>FAR[[#This Row],[Years utilised in Days ]]/365</f>
        <v>125.33424657534246</v>
      </c>
      <c r="AL507" s="12">
        <v>-119.33424657534246</v>
      </c>
      <c r="AM507" s="10">
        <v>0</v>
      </c>
      <c r="AN507" s="12">
        <f>FAR[[#This Row],[Opening RUL]]+FAR[[#This Row],[RUL Adjustment]]</f>
        <v>-119.33424657534246</v>
      </c>
      <c r="AO507" s="12">
        <f>FAR[[#This Row],[EUL]]-FAR[[#This Row],[Years utilised in Years]]</f>
        <v>-119.33424657534246</v>
      </c>
      <c r="AP507" s="12" t="s">
        <v>1050</v>
      </c>
      <c r="AQ507" s="139"/>
      <c r="AR507" s="10" t="s">
        <v>127</v>
      </c>
      <c r="AS507" s="13"/>
      <c r="AT507" s="226"/>
      <c r="AU507" s="13"/>
      <c r="AV507" s="13"/>
      <c r="AW507" s="13"/>
      <c r="AX507" s="226"/>
      <c r="AY507" s="226">
        <v>0</v>
      </c>
      <c r="AZ507" s="13">
        <v>0</v>
      </c>
      <c r="BA507" s="13"/>
      <c r="BB507" s="13"/>
      <c r="BC507" s="13">
        <v>0</v>
      </c>
      <c r="BD507" s="13"/>
      <c r="BE507" s="13" t="s">
        <v>114</v>
      </c>
      <c r="BF507" s="29"/>
      <c r="BG507" s="13"/>
      <c r="BH507" s="13">
        <f>-FAR[[#This Row],[Carrying value (opening balance)]]/FAR[[#This Row],[Opening RUL 30 June 2026]]</f>
        <v>0</v>
      </c>
      <c r="BI507" s="13">
        <f>FAR[[#This Row],[Depreciation YTD]]/12</f>
        <v>0</v>
      </c>
      <c r="BJ507" s="13"/>
      <c r="BK507" s="13" t="s">
        <v>116</v>
      </c>
      <c r="BL507" s="13">
        <v>0</v>
      </c>
      <c r="BM507" s="13">
        <f>FAR[[#This Row],[Accumulated depreciation (Opening balance)]]+FAR[[#This Row],[Depreciation YTD]]+FAR[[#This Row],[Derecognitions (acc dep) '[+']]]</f>
        <v>0</v>
      </c>
      <c r="BN507" s="13"/>
      <c r="BO507" s="13"/>
      <c r="BP507" s="13"/>
      <c r="BQ507" s="13"/>
      <c r="BR50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07" s="13">
        <f>FAR[[#This Row],[Cost Price (closing balance)]]+FAR[[#This Row],[Accumulated depreciation (Closing balance)]]+FAR[[#This Row],[Accumulated impairments (Closing balance)]]</f>
        <v>0</v>
      </c>
      <c r="BT507" s="13">
        <f>FAR[[#This Row],[Accumulated depreciation (Opening balance)]]</f>
        <v>0</v>
      </c>
      <c r="BU507" s="13"/>
      <c r="BV507" s="13"/>
      <c r="BW507" s="10"/>
      <c r="BX507" s="9"/>
      <c r="BY507" s="10"/>
      <c r="BZ507"/>
      <c r="CA507" t="s">
        <v>1135</v>
      </c>
      <c r="CB507" s="34"/>
      <c r="CC507" s="34"/>
      <c r="CD507" s="34"/>
      <c r="CE507" s="141">
        <f>FAR[[#This Row],[Additions capitalised (@actual cost)]]/FAR[[#This Row],[EUL]]</f>
        <v>0</v>
      </c>
    </row>
    <row r="508" spans="1:83">
      <c r="A508" s="35" t="s">
        <v>1091</v>
      </c>
      <c r="B508" s="9" t="s">
        <v>924</v>
      </c>
      <c r="C508" s="9" t="s">
        <v>54</v>
      </c>
      <c r="D508" s="10" t="s">
        <v>1</v>
      </c>
      <c r="E508" s="9" t="s">
        <v>115</v>
      </c>
      <c r="F508" s="36" t="s">
        <v>99</v>
      </c>
      <c r="G508" s="9" t="s">
        <v>100</v>
      </c>
      <c r="H508" s="3" t="s">
        <v>103</v>
      </c>
      <c r="I508" s="9" t="s">
        <v>100</v>
      </c>
      <c r="J508" s="36" t="s">
        <v>101</v>
      </c>
      <c r="K508" s="10" t="s">
        <v>559</v>
      </c>
      <c r="L508" s="10" t="s">
        <v>559</v>
      </c>
      <c r="M508" s="9" t="s">
        <v>100</v>
      </c>
      <c r="N508" s="10" t="s">
        <v>715</v>
      </c>
      <c r="O508" s="9" t="s">
        <v>100</v>
      </c>
      <c r="P508" s="10"/>
      <c r="Q508" s="10" t="s">
        <v>715</v>
      </c>
      <c r="R508" s="10" t="s">
        <v>119</v>
      </c>
      <c r="S508" s="10" t="s">
        <v>130</v>
      </c>
      <c r="T508" s="10" t="s">
        <v>120</v>
      </c>
      <c r="U508" s="10" t="s">
        <v>101</v>
      </c>
      <c r="V508" s="10" t="s">
        <v>121</v>
      </c>
      <c r="W508" s="10" t="s">
        <v>122</v>
      </c>
      <c r="X508" s="10" t="s">
        <v>123</v>
      </c>
      <c r="Y508" s="29">
        <v>1</v>
      </c>
      <c r="Z508" s="138"/>
      <c r="AA508" s="138"/>
      <c r="AB508" s="9" t="s">
        <v>114</v>
      </c>
      <c r="AC508" s="9" t="s">
        <v>124</v>
      </c>
      <c r="AD508" s="15">
        <v>45747</v>
      </c>
      <c r="AE508" s="39" t="s">
        <v>125</v>
      </c>
      <c r="AF508" s="177">
        <v>6</v>
      </c>
      <c r="AG508" s="140">
        <v>0</v>
      </c>
      <c r="AH508" s="9">
        <v>0</v>
      </c>
      <c r="AI508" s="10" t="s">
        <v>126</v>
      </c>
      <c r="AJ508" s="10">
        <f>FAR[[#This Row],[Reporting date]]-FAR[[#This Row],[Take-On Date '[dd-mm-yy']]]</f>
        <v>45747</v>
      </c>
      <c r="AK508" s="29">
        <f>FAR[[#This Row],[Years utilised in Days ]]/365</f>
        <v>125.33424657534246</v>
      </c>
      <c r="AL508" s="12">
        <v>-119.33424657534246</v>
      </c>
      <c r="AM508" s="10">
        <v>0</v>
      </c>
      <c r="AN508" s="12">
        <f>FAR[[#This Row],[Opening RUL]]+FAR[[#This Row],[RUL Adjustment]]</f>
        <v>-119.33424657534246</v>
      </c>
      <c r="AO508" s="12">
        <f>FAR[[#This Row],[EUL]]-FAR[[#This Row],[Years utilised in Years]]</f>
        <v>-119.33424657534246</v>
      </c>
      <c r="AP508" s="12" t="s">
        <v>1050</v>
      </c>
      <c r="AQ508" s="139"/>
      <c r="AR508" s="10" t="s">
        <v>127</v>
      </c>
      <c r="AS508" s="13"/>
      <c r="AT508" s="226"/>
      <c r="AU508" s="13"/>
      <c r="AV508" s="13"/>
      <c r="AW508" s="13"/>
      <c r="AX508" s="226"/>
      <c r="AY508" s="226">
        <v>0</v>
      </c>
      <c r="AZ508" s="13">
        <v>0</v>
      </c>
      <c r="BA508" s="13"/>
      <c r="BB508" s="13"/>
      <c r="BC508" s="13">
        <v>0</v>
      </c>
      <c r="BD508" s="13"/>
      <c r="BE508" s="13" t="s">
        <v>114</v>
      </c>
      <c r="BF508" s="29"/>
      <c r="BG508" s="13"/>
      <c r="BH508" s="13">
        <f>-FAR[[#This Row],[Carrying value (opening balance)]]/FAR[[#This Row],[Opening RUL 30 June 2026]]</f>
        <v>0</v>
      </c>
      <c r="BI508" s="13">
        <f>FAR[[#This Row],[Depreciation YTD]]/12</f>
        <v>0</v>
      </c>
      <c r="BJ508" s="13"/>
      <c r="BK508" s="13" t="s">
        <v>116</v>
      </c>
      <c r="BL508" s="13">
        <v>0</v>
      </c>
      <c r="BM508" s="13">
        <f>FAR[[#This Row],[Accumulated depreciation (Opening balance)]]+FAR[[#This Row],[Depreciation YTD]]+FAR[[#This Row],[Derecognitions (acc dep) '[+']]]</f>
        <v>0</v>
      </c>
      <c r="BN508" s="13"/>
      <c r="BO508" s="13"/>
      <c r="BP508" s="13"/>
      <c r="BQ508" s="13"/>
      <c r="BR50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08" s="13">
        <f>FAR[[#This Row],[Cost Price (closing balance)]]+FAR[[#This Row],[Accumulated depreciation (Closing balance)]]+FAR[[#This Row],[Accumulated impairments (Closing balance)]]</f>
        <v>0</v>
      </c>
      <c r="BT508" s="13">
        <f>FAR[[#This Row],[Accumulated depreciation (Opening balance)]]</f>
        <v>0</v>
      </c>
      <c r="BU508" s="13"/>
      <c r="BV508" s="13"/>
      <c r="BW508" s="10"/>
      <c r="BX508" s="9"/>
      <c r="BY508" s="10"/>
      <c r="BZ508"/>
      <c r="CA508"/>
      <c r="CB508" s="34"/>
      <c r="CC508" s="34"/>
      <c r="CD508" s="34"/>
      <c r="CE508" s="141">
        <f>FAR[[#This Row],[Additions capitalised (@actual cost)]]/FAR[[#This Row],[EUL]]</f>
        <v>0</v>
      </c>
    </row>
    <row r="509" spans="1:83">
      <c r="A509" s="35" t="s">
        <v>1092</v>
      </c>
      <c r="B509" s="9" t="s">
        <v>924</v>
      </c>
      <c r="C509" s="9" t="s">
        <v>54</v>
      </c>
      <c r="D509" s="10" t="s">
        <v>1</v>
      </c>
      <c r="E509" s="9" t="s">
        <v>115</v>
      </c>
      <c r="F509" s="36" t="s">
        <v>99</v>
      </c>
      <c r="G509" s="9" t="s">
        <v>100</v>
      </c>
      <c r="H509" s="3" t="s">
        <v>103</v>
      </c>
      <c r="I509" s="9" t="s">
        <v>100</v>
      </c>
      <c r="J509" s="36" t="s">
        <v>101</v>
      </c>
      <c r="K509" s="10" t="s">
        <v>559</v>
      </c>
      <c r="L509" s="10" t="s">
        <v>559</v>
      </c>
      <c r="M509" s="9" t="s">
        <v>100</v>
      </c>
      <c r="N509" s="10" t="s">
        <v>715</v>
      </c>
      <c r="O509" s="9" t="s">
        <v>100</v>
      </c>
      <c r="P509" s="10"/>
      <c r="Q509" s="10" t="s">
        <v>715</v>
      </c>
      <c r="R509" s="10" t="s">
        <v>119</v>
      </c>
      <c r="S509" s="10" t="s">
        <v>130</v>
      </c>
      <c r="T509" s="10" t="s">
        <v>120</v>
      </c>
      <c r="U509" s="10" t="s">
        <v>101</v>
      </c>
      <c r="V509" s="10" t="s">
        <v>121</v>
      </c>
      <c r="W509" s="10" t="s">
        <v>122</v>
      </c>
      <c r="X509" s="10" t="s">
        <v>123</v>
      </c>
      <c r="Y509" s="29">
        <v>1</v>
      </c>
      <c r="Z509" s="138"/>
      <c r="AA509" s="138"/>
      <c r="AB509" s="9" t="s">
        <v>114</v>
      </c>
      <c r="AC509" s="9" t="s">
        <v>124</v>
      </c>
      <c r="AD509" s="15">
        <v>45747</v>
      </c>
      <c r="AE509" s="39" t="s">
        <v>125</v>
      </c>
      <c r="AF509" s="177">
        <v>6</v>
      </c>
      <c r="AG509" s="140">
        <v>0</v>
      </c>
      <c r="AH509" s="9">
        <v>0</v>
      </c>
      <c r="AI509" s="10" t="s">
        <v>126</v>
      </c>
      <c r="AJ509" s="10">
        <f>FAR[[#This Row],[Reporting date]]-FAR[[#This Row],[Take-On Date '[dd-mm-yy']]]</f>
        <v>45747</v>
      </c>
      <c r="AK509" s="29">
        <f>FAR[[#This Row],[Years utilised in Days ]]/365</f>
        <v>125.33424657534246</v>
      </c>
      <c r="AL509" s="12">
        <v>-119.33424657534246</v>
      </c>
      <c r="AM509" s="10">
        <v>0</v>
      </c>
      <c r="AN509" s="12">
        <f>FAR[[#This Row],[Opening RUL]]+FAR[[#This Row],[RUL Adjustment]]</f>
        <v>-119.33424657534246</v>
      </c>
      <c r="AO509" s="12">
        <f>FAR[[#This Row],[EUL]]-FAR[[#This Row],[Years utilised in Years]]</f>
        <v>-119.33424657534246</v>
      </c>
      <c r="AP509" s="12" t="s">
        <v>1050</v>
      </c>
      <c r="AQ509" s="139"/>
      <c r="AR509" s="10" t="s">
        <v>127</v>
      </c>
      <c r="AS509" s="13"/>
      <c r="AT509" s="226"/>
      <c r="AU509" s="13"/>
      <c r="AV509" s="13"/>
      <c r="AW509" s="13"/>
      <c r="AX509" s="226"/>
      <c r="AY509" s="226">
        <v>0</v>
      </c>
      <c r="AZ509" s="13">
        <v>0</v>
      </c>
      <c r="BA509" s="13"/>
      <c r="BB509" s="13"/>
      <c r="BC509" s="13">
        <v>0</v>
      </c>
      <c r="BD509" s="13"/>
      <c r="BE509" s="13" t="s">
        <v>114</v>
      </c>
      <c r="BF509" s="29"/>
      <c r="BG509" s="13"/>
      <c r="BH509" s="13">
        <f>-FAR[[#This Row],[Carrying value (opening balance)]]/FAR[[#This Row],[Opening RUL 30 June 2026]]</f>
        <v>0</v>
      </c>
      <c r="BI509" s="13">
        <f>FAR[[#This Row],[Depreciation YTD]]/12</f>
        <v>0</v>
      </c>
      <c r="BJ509" s="13"/>
      <c r="BK509" s="13" t="s">
        <v>116</v>
      </c>
      <c r="BL509" s="13">
        <v>0</v>
      </c>
      <c r="BM509" s="13">
        <f>FAR[[#This Row],[Accumulated depreciation (Opening balance)]]+FAR[[#This Row],[Depreciation YTD]]+FAR[[#This Row],[Derecognitions (acc dep) '[+']]]</f>
        <v>0</v>
      </c>
      <c r="BN509" s="13"/>
      <c r="BO509" s="13"/>
      <c r="BP509" s="13"/>
      <c r="BQ509" s="13"/>
      <c r="BR50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09" s="13">
        <f>FAR[[#This Row],[Cost Price (closing balance)]]+FAR[[#This Row],[Accumulated depreciation (Closing balance)]]+FAR[[#This Row],[Accumulated impairments (Closing balance)]]</f>
        <v>0</v>
      </c>
      <c r="BT509" s="13">
        <f>FAR[[#This Row],[Accumulated depreciation (Opening balance)]]</f>
        <v>0</v>
      </c>
      <c r="BU509" s="13"/>
      <c r="BV509" s="13"/>
      <c r="BW509" s="10"/>
      <c r="BX509" s="9"/>
      <c r="BY509" s="10"/>
      <c r="BZ509"/>
      <c r="CA509"/>
      <c r="CB509" s="34"/>
      <c r="CC509" s="34"/>
      <c r="CD509" s="34"/>
      <c r="CE509" s="141">
        <f>FAR[[#This Row],[Additions capitalised (@actual cost)]]/FAR[[#This Row],[EUL]]</f>
        <v>0</v>
      </c>
    </row>
    <row r="510" spans="1:83">
      <c r="A510" s="35" t="s">
        <v>1093</v>
      </c>
      <c r="B510" s="9" t="s">
        <v>924</v>
      </c>
      <c r="C510" s="9" t="s">
        <v>54</v>
      </c>
      <c r="D510" s="10" t="s">
        <v>1</v>
      </c>
      <c r="E510" s="9" t="s">
        <v>115</v>
      </c>
      <c r="F510" s="36" t="s">
        <v>99</v>
      </c>
      <c r="G510" s="9" t="s">
        <v>100</v>
      </c>
      <c r="H510" s="3" t="s">
        <v>103</v>
      </c>
      <c r="I510" s="9" t="s">
        <v>100</v>
      </c>
      <c r="J510" s="36" t="s">
        <v>101</v>
      </c>
      <c r="K510" s="10" t="s">
        <v>559</v>
      </c>
      <c r="L510" s="10" t="s">
        <v>559</v>
      </c>
      <c r="M510" s="9" t="s">
        <v>100</v>
      </c>
      <c r="N510" s="10" t="s">
        <v>1148</v>
      </c>
      <c r="O510" s="9" t="s">
        <v>100</v>
      </c>
      <c r="P510" s="10"/>
      <c r="Q510" s="10" t="s">
        <v>1148</v>
      </c>
      <c r="R510" s="10" t="s">
        <v>119</v>
      </c>
      <c r="S510" s="10" t="s">
        <v>130</v>
      </c>
      <c r="T510" s="10" t="s">
        <v>120</v>
      </c>
      <c r="U510" s="10" t="s">
        <v>101</v>
      </c>
      <c r="V510" s="10" t="s">
        <v>121</v>
      </c>
      <c r="W510" s="10" t="s">
        <v>122</v>
      </c>
      <c r="X510" s="10" t="s">
        <v>123</v>
      </c>
      <c r="Y510" s="29">
        <v>1</v>
      </c>
      <c r="Z510" s="138"/>
      <c r="AA510" s="138"/>
      <c r="AB510" s="9" t="s">
        <v>114</v>
      </c>
      <c r="AC510" s="9" t="s">
        <v>124</v>
      </c>
      <c r="AD510" s="15">
        <v>45747</v>
      </c>
      <c r="AE510" s="39" t="s">
        <v>125</v>
      </c>
      <c r="AF510" s="177">
        <v>6</v>
      </c>
      <c r="AG510" s="140">
        <v>0</v>
      </c>
      <c r="AH510" s="9">
        <v>0</v>
      </c>
      <c r="AI510" s="10" t="s">
        <v>126</v>
      </c>
      <c r="AJ510" s="10">
        <f>FAR[[#This Row],[Reporting date]]-FAR[[#This Row],[Take-On Date '[dd-mm-yy']]]</f>
        <v>45747</v>
      </c>
      <c r="AK510" s="29">
        <f>FAR[[#This Row],[Years utilised in Days ]]/365</f>
        <v>125.33424657534246</v>
      </c>
      <c r="AL510" s="12">
        <v>-119.33424657534246</v>
      </c>
      <c r="AM510" s="10">
        <v>0</v>
      </c>
      <c r="AN510" s="12">
        <f>FAR[[#This Row],[Opening RUL]]+FAR[[#This Row],[RUL Adjustment]]</f>
        <v>-119.33424657534246</v>
      </c>
      <c r="AO510" s="12">
        <f>FAR[[#This Row],[EUL]]-FAR[[#This Row],[Years utilised in Years]]</f>
        <v>-119.33424657534246</v>
      </c>
      <c r="AP510" s="12" t="s">
        <v>1050</v>
      </c>
      <c r="AQ510" s="139"/>
      <c r="AR510" s="10" t="s">
        <v>127</v>
      </c>
      <c r="AS510" s="13"/>
      <c r="AT510" s="226"/>
      <c r="AU510" s="13"/>
      <c r="AV510" s="13"/>
      <c r="AW510" s="13"/>
      <c r="AX510" s="226"/>
      <c r="AY510" s="226">
        <v>0</v>
      </c>
      <c r="AZ510" s="13">
        <v>0</v>
      </c>
      <c r="BA510" s="13"/>
      <c r="BB510" s="13"/>
      <c r="BC510" s="13">
        <v>0</v>
      </c>
      <c r="BD510" s="13"/>
      <c r="BE510" s="13" t="s">
        <v>114</v>
      </c>
      <c r="BF510" s="29"/>
      <c r="BG510" s="13"/>
      <c r="BH510" s="13">
        <f>-FAR[[#This Row],[Carrying value (opening balance)]]/FAR[[#This Row],[Opening RUL 30 June 2026]]</f>
        <v>0</v>
      </c>
      <c r="BI510" s="13">
        <f>FAR[[#This Row],[Depreciation YTD]]/12</f>
        <v>0</v>
      </c>
      <c r="BJ510" s="13"/>
      <c r="BK510" s="13" t="s">
        <v>116</v>
      </c>
      <c r="BL510" s="13">
        <v>0</v>
      </c>
      <c r="BM510" s="13">
        <f>FAR[[#This Row],[Accumulated depreciation (Opening balance)]]+FAR[[#This Row],[Depreciation YTD]]+FAR[[#This Row],[Derecognitions (acc dep) '[+']]]</f>
        <v>0</v>
      </c>
      <c r="BN510" s="13"/>
      <c r="BO510" s="13"/>
      <c r="BP510" s="13"/>
      <c r="BQ510" s="13"/>
      <c r="BR51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10" s="13">
        <f>FAR[[#This Row],[Cost Price (closing balance)]]+FAR[[#This Row],[Accumulated depreciation (Closing balance)]]+FAR[[#This Row],[Accumulated impairments (Closing balance)]]</f>
        <v>0</v>
      </c>
      <c r="BT510" s="13">
        <f>FAR[[#This Row],[Accumulated depreciation (Opening balance)]]</f>
        <v>0</v>
      </c>
      <c r="BU510" s="13"/>
      <c r="BV510" s="13"/>
      <c r="BW510" s="10"/>
      <c r="BX510" s="9"/>
      <c r="BY510" s="10"/>
      <c r="BZ510"/>
      <c r="CA510"/>
      <c r="CB510" s="34"/>
      <c r="CC510" s="34"/>
      <c r="CD510" s="34"/>
      <c r="CE510" s="141">
        <f>FAR[[#This Row],[Additions capitalised (@actual cost)]]/FAR[[#This Row],[EUL]]</f>
        <v>0</v>
      </c>
    </row>
    <row r="511" spans="1:83">
      <c r="A511" s="35" t="s">
        <v>1094</v>
      </c>
      <c r="B511" s="9" t="s">
        <v>924</v>
      </c>
      <c r="C511" s="9" t="s">
        <v>54</v>
      </c>
      <c r="D511" s="10" t="s">
        <v>1</v>
      </c>
      <c r="E511" s="9" t="s">
        <v>115</v>
      </c>
      <c r="F511" s="36" t="s">
        <v>99</v>
      </c>
      <c r="G511" s="9" t="s">
        <v>100</v>
      </c>
      <c r="H511" s="3" t="s">
        <v>103</v>
      </c>
      <c r="I511" s="9" t="s">
        <v>100</v>
      </c>
      <c r="J511" s="36" t="s">
        <v>101</v>
      </c>
      <c r="K511" s="10" t="s">
        <v>559</v>
      </c>
      <c r="L511" s="10" t="s">
        <v>559</v>
      </c>
      <c r="M511" s="9" t="s">
        <v>100</v>
      </c>
      <c r="N511" s="10" t="s">
        <v>1149</v>
      </c>
      <c r="O511" s="9" t="s">
        <v>100</v>
      </c>
      <c r="P511" s="10"/>
      <c r="Q511" s="10" t="s">
        <v>1149</v>
      </c>
      <c r="R511" s="10" t="s">
        <v>119</v>
      </c>
      <c r="S511" s="10" t="s">
        <v>130</v>
      </c>
      <c r="T511" s="10" t="s">
        <v>120</v>
      </c>
      <c r="U511" s="10" t="s">
        <v>101</v>
      </c>
      <c r="V511" s="10" t="s">
        <v>121</v>
      </c>
      <c r="W511" s="10" t="s">
        <v>122</v>
      </c>
      <c r="X511" s="10" t="s">
        <v>123</v>
      </c>
      <c r="Y511" s="29">
        <v>1</v>
      </c>
      <c r="Z511" s="138" t="s">
        <v>1151</v>
      </c>
      <c r="AA511" s="138">
        <v>45531</v>
      </c>
      <c r="AB511" s="9" t="s">
        <v>114</v>
      </c>
      <c r="AC511" s="9" t="s">
        <v>124</v>
      </c>
      <c r="AD511" s="15">
        <v>45747</v>
      </c>
      <c r="AE511" s="39" t="s">
        <v>125</v>
      </c>
      <c r="AF511" s="177">
        <v>6</v>
      </c>
      <c r="AG511" s="140">
        <v>0</v>
      </c>
      <c r="AH511" s="9">
        <v>0</v>
      </c>
      <c r="AI511" s="10" t="s">
        <v>126</v>
      </c>
      <c r="AJ511" s="10">
        <f>FAR[[#This Row],[Reporting date]]-FAR[[#This Row],[Take-On Date '[dd-mm-yy']]]</f>
        <v>216</v>
      </c>
      <c r="AK511" s="29">
        <f>FAR[[#This Row],[Years utilised in Days ]]/365</f>
        <v>0.59178082191780823</v>
      </c>
      <c r="AL511" s="12">
        <v>5.4082191780821915</v>
      </c>
      <c r="AM511" s="10">
        <v>0</v>
      </c>
      <c r="AN511" s="12">
        <f>FAR[[#This Row],[Opening RUL]]+FAR[[#This Row],[RUL Adjustment]]</f>
        <v>5.4082191780821915</v>
      </c>
      <c r="AO511" s="12">
        <f>FAR[[#This Row],[EUL]]-FAR[[#This Row],[Years utilised in Years]]</f>
        <v>5.4082191780821915</v>
      </c>
      <c r="AP511" s="12" t="s">
        <v>1050</v>
      </c>
      <c r="AQ511" s="139"/>
      <c r="AR511" s="10" t="s">
        <v>127</v>
      </c>
      <c r="AS511" s="13"/>
      <c r="AT511" s="13"/>
      <c r="AU511" s="13"/>
      <c r="AV511" s="13"/>
      <c r="AW511" s="13"/>
      <c r="AX511" s="13"/>
      <c r="AY511" s="226">
        <v>0</v>
      </c>
      <c r="AZ511" s="13">
        <v>0</v>
      </c>
      <c r="BA511" s="13"/>
      <c r="BB511" s="13"/>
      <c r="BC511" s="13">
        <v>0</v>
      </c>
      <c r="BD511" s="13"/>
      <c r="BE511" s="13" t="s">
        <v>114</v>
      </c>
      <c r="BF511" s="29"/>
      <c r="BG511" s="13"/>
      <c r="BH511" s="13">
        <f>-FAR[[#This Row],[Carrying value (opening balance)]]/FAR[[#This Row],[Opening RUL 30 June 2026]]</f>
        <v>0</v>
      </c>
      <c r="BI511" s="13">
        <f>FAR[[#This Row],[Depreciation YTD]]/12</f>
        <v>0</v>
      </c>
      <c r="BJ511" s="13"/>
      <c r="BK511" s="13" t="s">
        <v>116</v>
      </c>
      <c r="BL511" s="13">
        <v>0</v>
      </c>
      <c r="BM511" s="13">
        <f>FAR[[#This Row],[Accumulated depreciation (Opening balance)]]+FAR[[#This Row],[Depreciation YTD]]+FAR[[#This Row],[Derecognitions (acc dep) '[+']]]</f>
        <v>0</v>
      </c>
      <c r="BN511" s="13"/>
      <c r="BO511" s="13"/>
      <c r="BP511" s="13"/>
      <c r="BQ511" s="13"/>
      <c r="BR51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11" s="13">
        <f>FAR[[#This Row],[Cost Price (closing balance)]]+FAR[[#This Row],[Accumulated depreciation (Closing balance)]]+FAR[[#This Row],[Accumulated impairments (Closing balance)]]</f>
        <v>0</v>
      </c>
      <c r="BT511" s="13">
        <f>FAR[[#This Row],[Accumulated depreciation (Opening balance)]]</f>
        <v>0</v>
      </c>
      <c r="BU511" s="13"/>
      <c r="BV511" s="13"/>
      <c r="BW511" s="10"/>
      <c r="BX511" s="9"/>
      <c r="BY511" s="10"/>
      <c r="BZ511"/>
      <c r="CA511"/>
      <c r="CB511" s="34"/>
      <c r="CC511" s="34"/>
      <c r="CD511" s="34"/>
      <c r="CE511" s="141">
        <f>FAR[[#This Row],[Additions capitalised (@actual cost)]]/FAR[[#This Row],[EUL]]</f>
        <v>0</v>
      </c>
    </row>
    <row r="512" spans="1:83">
      <c r="A512" s="35" t="s">
        <v>1095</v>
      </c>
      <c r="B512" s="9" t="s">
        <v>924</v>
      </c>
      <c r="C512" s="9" t="s">
        <v>54</v>
      </c>
      <c r="D512" s="10" t="s">
        <v>1</v>
      </c>
      <c r="E512" s="9" t="s">
        <v>115</v>
      </c>
      <c r="F512" s="36" t="s">
        <v>99</v>
      </c>
      <c r="G512" s="9" t="s">
        <v>100</v>
      </c>
      <c r="H512" s="3" t="s">
        <v>103</v>
      </c>
      <c r="I512" s="9" t="s">
        <v>100</v>
      </c>
      <c r="J512" s="36" t="s">
        <v>101</v>
      </c>
      <c r="K512" s="10" t="s">
        <v>559</v>
      </c>
      <c r="L512" s="10" t="s">
        <v>559</v>
      </c>
      <c r="M512" s="9" t="s">
        <v>100</v>
      </c>
      <c r="N512" s="10" t="s">
        <v>1149</v>
      </c>
      <c r="O512" s="9" t="s">
        <v>100</v>
      </c>
      <c r="P512" s="10"/>
      <c r="Q512" s="10" t="s">
        <v>1149</v>
      </c>
      <c r="R512" s="10" t="s">
        <v>119</v>
      </c>
      <c r="S512" s="10" t="s">
        <v>130</v>
      </c>
      <c r="T512" s="10" t="s">
        <v>120</v>
      </c>
      <c r="U512" s="10" t="s">
        <v>101</v>
      </c>
      <c r="V512" s="10" t="s">
        <v>121</v>
      </c>
      <c r="W512" s="10" t="s">
        <v>122</v>
      </c>
      <c r="X512" s="10" t="s">
        <v>123</v>
      </c>
      <c r="Y512" s="29">
        <v>1</v>
      </c>
      <c r="Z512" s="138" t="s">
        <v>1151</v>
      </c>
      <c r="AA512" s="138">
        <v>45531</v>
      </c>
      <c r="AB512" s="9" t="s">
        <v>114</v>
      </c>
      <c r="AC512" s="9" t="s">
        <v>124</v>
      </c>
      <c r="AD512" s="15">
        <v>45747</v>
      </c>
      <c r="AE512" s="39" t="s">
        <v>125</v>
      </c>
      <c r="AF512" s="177">
        <v>6</v>
      </c>
      <c r="AG512" s="140">
        <v>0</v>
      </c>
      <c r="AH512" s="9">
        <v>0</v>
      </c>
      <c r="AI512" s="10" t="s">
        <v>126</v>
      </c>
      <c r="AJ512" s="10">
        <f>FAR[[#This Row],[Reporting date]]-FAR[[#This Row],[Take-On Date '[dd-mm-yy']]]</f>
        <v>216</v>
      </c>
      <c r="AK512" s="29">
        <f>FAR[[#This Row],[Years utilised in Days ]]/365</f>
        <v>0.59178082191780823</v>
      </c>
      <c r="AL512" s="12">
        <v>5.4082191780821915</v>
      </c>
      <c r="AM512" s="10">
        <v>0</v>
      </c>
      <c r="AN512" s="12">
        <f>FAR[[#This Row],[Opening RUL]]+FAR[[#This Row],[RUL Adjustment]]</f>
        <v>5.4082191780821915</v>
      </c>
      <c r="AO512" s="12">
        <f>FAR[[#This Row],[EUL]]-FAR[[#This Row],[Years utilised in Years]]</f>
        <v>5.4082191780821915</v>
      </c>
      <c r="AP512" s="12" t="s">
        <v>1050</v>
      </c>
      <c r="AQ512" s="139"/>
      <c r="AR512" s="10" t="s">
        <v>127</v>
      </c>
      <c r="AS512" s="13"/>
      <c r="AT512" s="13"/>
      <c r="AU512" s="13"/>
      <c r="AV512" s="13"/>
      <c r="AW512" s="13"/>
      <c r="AX512" s="13"/>
      <c r="AY512" s="226">
        <v>0</v>
      </c>
      <c r="AZ512" s="13">
        <v>0</v>
      </c>
      <c r="BA512" s="13"/>
      <c r="BB512" s="13"/>
      <c r="BC512" s="13">
        <v>0</v>
      </c>
      <c r="BD512" s="13"/>
      <c r="BE512" s="13" t="s">
        <v>114</v>
      </c>
      <c r="BF512" s="29"/>
      <c r="BG512" s="13"/>
      <c r="BH512" s="13">
        <f>-FAR[[#This Row],[Carrying value (opening balance)]]/FAR[[#This Row],[Opening RUL 30 June 2026]]</f>
        <v>0</v>
      </c>
      <c r="BI512" s="13">
        <f>FAR[[#This Row],[Depreciation YTD]]/12</f>
        <v>0</v>
      </c>
      <c r="BJ512" s="13"/>
      <c r="BK512" s="13" t="s">
        <v>116</v>
      </c>
      <c r="BL512" s="13">
        <v>0</v>
      </c>
      <c r="BM512" s="13">
        <f>FAR[[#This Row],[Accumulated depreciation (Opening balance)]]+FAR[[#This Row],[Depreciation YTD]]+FAR[[#This Row],[Derecognitions (acc dep) '[+']]]</f>
        <v>0</v>
      </c>
      <c r="BN512" s="13"/>
      <c r="BO512" s="13"/>
      <c r="BP512" s="13"/>
      <c r="BQ512" s="13"/>
      <c r="BR51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12" s="13">
        <f>FAR[[#This Row],[Cost Price (closing balance)]]+FAR[[#This Row],[Accumulated depreciation (Closing balance)]]+FAR[[#This Row],[Accumulated impairments (Closing balance)]]</f>
        <v>0</v>
      </c>
      <c r="BT512" s="13">
        <f>FAR[[#This Row],[Accumulated depreciation (Opening balance)]]</f>
        <v>0</v>
      </c>
      <c r="BU512" s="13"/>
      <c r="BV512" s="13"/>
      <c r="BW512" s="10"/>
      <c r="BX512" s="9"/>
      <c r="BY512" s="10"/>
      <c r="BZ512"/>
      <c r="CA512"/>
      <c r="CB512" s="34"/>
      <c r="CC512" s="34"/>
      <c r="CD512" s="34"/>
      <c r="CE512" s="141">
        <f>FAR[[#This Row],[Additions capitalised (@actual cost)]]/FAR[[#This Row],[EUL]]</f>
        <v>0</v>
      </c>
    </row>
    <row r="513" spans="1:83">
      <c r="A513" s="35" t="s">
        <v>1096</v>
      </c>
      <c r="B513" s="9" t="s">
        <v>924</v>
      </c>
      <c r="C513" s="9" t="s">
        <v>54</v>
      </c>
      <c r="D513" s="10" t="s">
        <v>1</v>
      </c>
      <c r="E513" s="9" t="s">
        <v>115</v>
      </c>
      <c r="F513" s="36" t="s">
        <v>99</v>
      </c>
      <c r="G513" s="9" t="s">
        <v>100</v>
      </c>
      <c r="H513" s="3" t="s">
        <v>103</v>
      </c>
      <c r="I513" s="9" t="s">
        <v>100</v>
      </c>
      <c r="J513" s="36" t="s">
        <v>101</v>
      </c>
      <c r="K513" s="10" t="s">
        <v>559</v>
      </c>
      <c r="L513" s="10" t="s">
        <v>559</v>
      </c>
      <c r="M513" s="9" t="s">
        <v>100</v>
      </c>
      <c r="N513" s="10" t="s">
        <v>1149</v>
      </c>
      <c r="O513" s="9" t="s">
        <v>100</v>
      </c>
      <c r="P513" s="10"/>
      <c r="Q513" s="10" t="s">
        <v>1149</v>
      </c>
      <c r="R513" s="10" t="s">
        <v>119</v>
      </c>
      <c r="S513" s="10" t="s">
        <v>130</v>
      </c>
      <c r="T513" s="10" t="s">
        <v>120</v>
      </c>
      <c r="U513" s="10" t="s">
        <v>101</v>
      </c>
      <c r="V513" s="10" t="s">
        <v>121</v>
      </c>
      <c r="W513" s="10" t="s">
        <v>122</v>
      </c>
      <c r="X513" s="10" t="s">
        <v>123</v>
      </c>
      <c r="Y513" s="29">
        <v>1</v>
      </c>
      <c r="Z513" s="138" t="s">
        <v>1151</v>
      </c>
      <c r="AA513" s="138">
        <v>45531</v>
      </c>
      <c r="AB513" s="9" t="s">
        <v>114</v>
      </c>
      <c r="AC513" s="9" t="s">
        <v>124</v>
      </c>
      <c r="AD513" s="15">
        <v>45747</v>
      </c>
      <c r="AE513" s="39" t="s">
        <v>125</v>
      </c>
      <c r="AF513" s="177">
        <v>6</v>
      </c>
      <c r="AG513" s="140">
        <v>0</v>
      </c>
      <c r="AH513" s="9">
        <v>0</v>
      </c>
      <c r="AI513" s="10" t="s">
        <v>126</v>
      </c>
      <c r="AJ513" s="10">
        <f>FAR[[#This Row],[Reporting date]]-FAR[[#This Row],[Take-On Date '[dd-mm-yy']]]</f>
        <v>216</v>
      </c>
      <c r="AK513" s="29">
        <f>FAR[[#This Row],[Years utilised in Days ]]/365</f>
        <v>0.59178082191780823</v>
      </c>
      <c r="AL513" s="12">
        <v>5.4082191780821915</v>
      </c>
      <c r="AM513" s="10">
        <v>0</v>
      </c>
      <c r="AN513" s="12">
        <f>FAR[[#This Row],[Opening RUL]]+FAR[[#This Row],[RUL Adjustment]]</f>
        <v>5.4082191780821915</v>
      </c>
      <c r="AO513" s="12">
        <f>FAR[[#This Row],[EUL]]-FAR[[#This Row],[Years utilised in Years]]</f>
        <v>5.4082191780821915</v>
      </c>
      <c r="AP513" s="12" t="s">
        <v>1050</v>
      </c>
      <c r="AQ513" s="139"/>
      <c r="AR513" s="10" t="s">
        <v>127</v>
      </c>
      <c r="AS513" s="13"/>
      <c r="AT513" s="13"/>
      <c r="AU513" s="13"/>
      <c r="AV513" s="13"/>
      <c r="AW513" s="13"/>
      <c r="AX513" s="13"/>
      <c r="AY513" s="226">
        <v>0</v>
      </c>
      <c r="AZ513" s="13">
        <v>0</v>
      </c>
      <c r="BA513" s="13"/>
      <c r="BB513" s="13"/>
      <c r="BC513" s="13">
        <v>0</v>
      </c>
      <c r="BD513" s="13"/>
      <c r="BE513" s="13" t="s">
        <v>114</v>
      </c>
      <c r="BF513" s="29"/>
      <c r="BG513" s="13"/>
      <c r="BH513" s="13">
        <f>-FAR[[#This Row],[Carrying value (opening balance)]]/FAR[[#This Row],[Opening RUL 30 June 2026]]</f>
        <v>0</v>
      </c>
      <c r="BI513" s="13">
        <f>FAR[[#This Row],[Depreciation YTD]]/12</f>
        <v>0</v>
      </c>
      <c r="BJ513" s="13"/>
      <c r="BK513" s="13" t="s">
        <v>116</v>
      </c>
      <c r="BL513" s="13">
        <v>0</v>
      </c>
      <c r="BM513" s="13">
        <f>FAR[[#This Row],[Accumulated depreciation (Opening balance)]]+FAR[[#This Row],[Depreciation YTD]]+FAR[[#This Row],[Derecognitions (acc dep) '[+']]]</f>
        <v>0</v>
      </c>
      <c r="BN513" s="13"/>
      <c r="BO513" s="13"/>
      <c r="BP513" s="13"/>
      <c r="BQ513" s="13"/>
      <c r="BR51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13" s="13">
        <f>FAR[[#This Row],[Cost Price (closing balance)]]+FAR[[#This Row],[Accumulated depreciation (Closing balance)]]+FAR[[#This Row],[Accumulated impairments (Closing balance)]]</f>
        <v>0</v>
      </c>
      <c r="BT513" s="13">
        <f>FAR[[#This Row],[Accumulated depreciation (Opening balance)]]</f>
        <v>0</v>
      </c>
      <c r="BU513" s="13"/>
      <c r="BV513" s="13"/>
      <c r="BW513" s="10"/>
      <c r="BX513" s="9"/>
      <c r="BY513" s="10"/>
      <c r="BZ513"/>
      <c r="CA513"/>
      <c r="CB513" s="34"/>
      <c r="CC513" s="34"/>
      <c r="CD513" s="34"/>
      <c r="CE513" s="141">
        <f>FAR[[#This Row],[Additions capitalised (@actual cost)]]/FAR[[#This Row],[EUL]]</f>
        <v>0</v>
      </c>
    </row>
    <row r="514" spans="1:83">
      <c r="A514" s="35" t="s">
        <v>1097</v>
      </c>
      <c r="B514" s="9" t="s">
        <v>1124</v>
      </c>
      <c r="C514" s="9" t="s">
        <v>54</v>
      </c>
      <c r="D514" s="10" t="s">
        <v>1</v>
      </c>
      <c r="E514" s="9" t="s">
        <v>115</v>
      </c>
      <c r="F514" s="36" t="s">
        <v>99</v>
      </c>
      <c r="G514" s="9" t="s">
        <v>100</v>
      </c>
      <c r="H514" s="3" t="s">
        <v>103</v>
      </c>
      <c r="I514" s="9" t="s">
        <v>100</v>
      </c>
      <c r="J514" s="36" t="s">
        <v>101</v>
      </c>
      <c r="K514" s="10" t="s">
        <v>559</v>
      </c>
      <c r="L514" s="10" t="s">
        <v>559</v>
      </c>
      <c r="M514" s="9" t="s">
        <v>100</v>
      </c>
      <c r="N514" s="10" t="s">
        <v>1147</v>
      </c>
      <c r="O514" s="9" t="s">
        <v>100</v>
      </c>
      <c r="P514" s="10"/>
      <c r="Q514" s="10" t="s">
        <v>1147</v>
      </c>
      <c r="R514" s="10" t="s">
        <v>119</v>
      </c>
      <c r="S514" s="10" t="s">
        <v>130</v>
      </c>
      <c r="T514" s="10" t="s">
        <v>120</v>
      </c>
      <c r="U514" s="10" t="s">
        <v>101</v>
      </c>
      <c r="V514" s="10" t="s">
        <v>121</v>
      </c>
      <c r="W514" s="10" t="s">
        <v>122</v>
      </c>
      <c r="X514" s="10" t="s">
        <v>123</v>
      </c>
      <c r="Y514" s="29">
        <v>1</v>
      </c>
      <c r="Z514" s="138"/>
      <c r="AA514" s="138"/>
      <c r="AB514" s="9" t="s">
        <v>114</v>
      </c>
      <c r="AC514" s="9" t="s">
        <v>124</v>
      </c>
      <c r="AD514" s="15">
        <v>45747</v>
      </c>
      <c r="AE514" s="39" t="s">
        <v>125</v>
      </c>
      <c r="AF514" s="177">
        <v>6</v>
      </c>
      <c r="AG514" s="140">
        <v>0</v>
      </c>
      <c r="AH514" s="9">
        <v>0</v>
      </c>
      <c r="AI514" s="10" t="s">
        <v>126</v>
      </c>
      <c r="AJ514" s="10">
        <f>FAR[[#This Row],[Reporting date]]-FAR[[#This Row],[Take-On Date '[dd-mm-yy']]]</f>
        <v>45747</v>
      </c>
      <c r="AK514" s="29">
        <f>FAR[[#This Row],[Years utilised in Days ]]/365</f>
        <v>125.33424657534246</v>
      </c>
      <c r="AL514" s="12">
        <v>-119.33424657534246</v>
      </c>
      <c r="AM514" s="10">
        <v>0</v>
      </c>
      <c r="AN514" s="12">
        <f>FAR[[#This Row],[Opening RUL]]+FAR[[#This Row],[RUL Adjustment]]</f>
        <v>-119.33424657534246</v>
      </c>
      <c r="AO514" s="12">
        <f>FAR[[#This Row],[EUL]]-FAR[[#This Row],[Years utilised in Years]]</f>
        <v>-119.33424657534246</v>
      </c>
      <c r="AP514" s="12" t="s">
        <v>1050</v>
      </c>
      <c r="AQ514" s="139"/>
      <c r="AR514" s="10" t="s">
        <v>127</v>
      </c>
      <c r="AS514" s="13"/>
      <c r="AT514" s="226"/>
      <c r="AU514" s="13"/>
      <c r="AV514" s="13"/>
      <c r="AW514" s="13"/>
      <c r="AX514" s="226"/>
      <c r="AY514" s="226">
        <v>0</v>
      </c>
      <c r="AZ514" s="13">
        <v>0</v>
      </c>
      <c r="BA514" s="13"/>
      <c r="BB514" s="13"/>
      <c r="BC514" s="13">
        <v>0</v>
      </c>
      <c r="BD514" s="13"/>
      <c r="BE514" s="13" t="s">
        <v>114</v>
      </c>
      <c r="BF514" s="29"/>
      <c r="BG514" s="13"/>
      <c r="BH514" s="13">
        <f>-FAR[[#This Row],[Carrying value (opening balance)]]/FAR[[#This Row],[Opening RUL 30 June 2026]]</f>
        <v>0</v>
      </c>
      <c r="BI514" s="13">
        <f>FAR[[#This Row],[Depreciation YTD]]/12</f>
        <v>0</v>
      </c>
      <c r="BJ514" s="13"/>
      <c r="BK514" s="13" t="s">
        <v>116</v>
      </c>
      <c r="BL514" s="13">
        <v>0</v>
      </c>
      <c r="BM514" s="13">
        <f>FAR[[#This Row],[Accumulated depreciation (Opening balance)]]+FAR[[#This Row],[Depreciation YTD]]+FAR[[#This Row],[Derecognitions (acc dep) '[+']]]</f>
        <v>0</v>
      </c>
      <c r="BN514" s="13"/>
      <c r="BO514" s="13"/>
      <c r="BP514" s="13"/>
      <c r="BQ514" s="13"/>
      <c r="BR51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14" s="13">
        <f>FAR[[#This Row],[Cost Price (closing balance)]]+FAR[[#This Row],[Accumulated depreciation (Closing balance)]]+FAR[[#This Row],[Accumulated impairments (Closing balance)]]</f>
        <v>0</v>
      </c>
      <c r="BT514" s="13">
        <f>FAR[[#This Row],[Accumulated depreciation (Opening balance)]]</f>
        <v>0</v>
      </c>
      <c r="BU514" s="13"/>
      <c r="BV514" s="13"/>
      <c r="BW514" s="10"/>
      <c r="BX514" s="9"/>
      <c r="BY514" s="10"/>
      <c r="BZ514"/>
      <c r="CA514"/>
      <c r="CB514" s="34"/>
      <c r="CC514" s="34"/>
      <c r="CD514" s="34"/>
      <c r="CE514" s="141">
        <f>FAR[[#This Row],[Additions capitalised (@actual cost)]]/FAR[[#This Row],[EUL]]</f>
        <v>0</v>
      </c>
    </row>
    <row r="515" spans="1:83">
      <c r="A515" s="35" t="s">
        <v>1098</v>
      </c>
      <c r="B515" s="9" t="s">
        <v>929</v>
      </c>
      <c r="C515" s="9" t="s">
        <v>54</v>
      </c>
      <c r="D515" s="10" t="s">
        <v>1</v>
      </c>
      <c r="E515" s="9" t="s">
        <v>115</v>
      </c>
      <c r="F515" s="36" t="s">
        <v>99</v>
      </c>
      <c r="G515" s="9" t="s">
        <v>100</v>
      </c>
      <c r="H515" s="3" t="s">
        <v>103</v>
      </c>
      <c r="I515" s="9" t="s">
        <v>100</v>
      </c>
      <c r="J515" s="36" t="s">
        <v>101</v>
      </c>
      <c r="K515" s="10" t="s">
        <v>559</v>
      </c>
      <c r="L515" s="10" t="s">
        <v>559</v>
      </c>
      <c r="M515" s="9" t="s">
        <v>100</v>
      </c>
      <c r="N515" s="10" t="s">
        <v>1147</v>
      </c>
      <c r="O515" s="9" t="s">
        <v>100</v>
      </c>
      <c r="P515" s="10"/>
      <c r="Q515" s="10" t="s">
        <v>1147</v>
      </c>
      <c r="R515" s="10" t="s">
        <v>119</v>
      </c>
      <c r="S515" s="10" t="s">
        <v>130</v>
      </c>
      <c r="T515" s="10" t="s">
        <v>120</v>
      </c>
      <c r="U515" s="10" t="s">
        <v>101</v>
      </c>
      <c r="V515" s="10" t="s">
        <v>121</v>
      </c>
      <c r="W515" s="10" t="s">
        <v>122</v>
      </c>
      <c r="X515" s="10" t="s">
        <v>123</v>
      </c>
      <c r="Y515" s="29">
        <v>1</v>
      </c>
      <c r="Z515" s="138"/>
      <c r="AA515" s="138"/>
      <c r="AB515" s="9" t="s">
        <v>114</v>
      </c>
      <c r="AC515" s="9" t="s">
        <v>124</v>
      </c>
      <c r="AD515" s="15">
        <v>45747</v>
      </c>
      <c r="AE515" s="39" t="s">
        <v>125</v>
      </c>
      <c r="AF515" s="177">
        <v>6</v>
      </c>
      <c r="AG515" s="140">
        <v>0</v>
      </c>
      <c r="AH515" s="9">
        <v>0</v>
      </c>
      <c r="AI515" s="10" t="s">
        <v>126</v>
      </c>
      <c r="AJ515" s="10">
        <f>FAR[[#This Row],[Reporting date]]-FAR[[#This Row],[Take-On Date '[dd-mm-yy']]]</f>
        <v>45747</v>
      </c>
      <c r="AK515" s="29">
        <f>FAR[[#This Row],[Years utilised in Days ]]/365</f>
        <v>125.33424657534246</v>
      </c>
      <c r="AL515" s="12">
        <v>-119.33424657534246</v>
      </c>
      <c r="AM515" s="10">
        <v>0</v>
      </c>
      <c r="AN515" s="12">
        <f>FAR[[#This Row],[Opening RUL]]+FAR[[#This Row],[RUL Adjustment]]</f>
        <v>-119.33424657534246</v>
      </c>
      <c r="AO515" s="12">
        <f>FAR[[#This Row],[EUL]]-FAR[[#This Row],[Years utilised in Years]]</f>
        <v>-119.33424657534246</v>
      </c>
      <c r="AP515" s="12" t="s">
        <v>1050</v>
      </c>
      <c r="AQ515" s="139"/>
      <c r="AR515" s="10" t="s">
        <v>127</v>
      </c>
      <c r="AS515" s="13"/>
      <c r="AT515" s="226"/>
      <c r="AU515" s="13"/>
      <c r="AV515" s="13"/>
      <c r="AW515" s="13"/>
      <c r="AX515" s="226"/>
      <c r="AY515" s="226">
        <v>0</v>
      </c>
      <c r="AZ515" s="13">
        <v>0</v>
      </c>
      <c r="BA515" s="13"/>
      <c r="BB515" s="13"/>
      <c r="BC515" s="13">
        <v>0</v>
      </c>
      <c r="BD515" s="13"/>
      <c r="BE515" s="13" t="s">
        <v>114</v>
      </c>
      <c r="BF515" s="29"/>
      <c r="BG515" s="13"/>
      <c r="BH515" s="13">
        <f>-FAR[[#This Row],[Carrying value (opening balance)]]/FAR[[#This Row],[Opening RUL 30 June 2026]]</f>
        <v>0</v>
      </c>
      <c r="BI515" s="13">
        <f>FAR[[#This Row],[Depreciation YTD]]/12</f>
        <v>0</v>
      </c>
      <c r="BJ515" s="13"/>
      <c r="BK515" s="13" t="s">
        <v>116</v>
      </c>
      <c r="BL515" s="13">
        <v>0</v>
      </c>
      <c r="BM515" s="13">
        <f>FAR[[#This Row],[Accumulated depreciation (Opening balance)]]+FAR[[#This Row],[Depreciation YTD]]+FAR[[#This Row],[Derecognitions (acc dep) '[+']]]</f>
        <v>0</v>
      </c>
      <c r="BN515" s="13"/>
      <c r="BO515" s="13"/>
      <c r="BP515" s="13"/>
      <c r="BQ515" s="13"/>
      <c r="BR51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15" s="13">
        <f>FAR[[#This Row],[Cost Price (closing balance)]]+FAR[[#This Row],[Accumulated depreciation (Closing balance)]]+FAR[[#This Row],[Accumulated impairments (Closing balance)]]</f>
        <v>0</v>
      </c>
      <c r="BT515" s="13">
        <f>FAR[[#This Row],[Accumulated depreciation (Opening balance)]]</f>
        <v>0</v>
      </c>
      <c r="BU515" s="13"/>
      <c r="BV515" s="13"/>
      <c r="BW515" s="10"/>
      <c r="BX515" s="9"/>
      <c r="BY515" s="10"/>
      <c r="BZ515"/>
      <c r="CA515"/>
      <c r="CB515" s="34"/>
      <c r="CC515" s="34"/>
      <c r="CD515" s="34"/>
      <c r="CE515" s="141">
        <f>FAR[[#This Row],[Additions capitalised (@actual cost)]]/FAR[[#This Row],[EUL]]</f>
        <v>0</v>
      </c>
    </row>
    <row r="516" spans="1:83">
      <c r="A516" s="35" t="s">
        <v>1099</v>
      </c>
      <c r="B516" s="9" t="s">
        <v>1122</v>
      </c>
      <c r="C516" s="9" t="s">
        <v>54</v>
      </c>
      <c r="D516" s="10" t="s">
        <v>1</v>
      </c>
      <c r="E516" s="9" t="s">
        <v>115</v>
      </c>
      <c r="F516" s="36" t="s">
        <v>99</v>
      </c>
      <c r="G516" s="9" t="s">
        <v>100</v>
      </c>
      <c r="H516" s="3" t="s">
        <v>623</v>
      </c>
      <c r="I516" s="9" t="s">
        <v>100</v>
      </c>
      <c r="J516" s="36" t="s">
        <v>101</v>
      </c>
      <c r="K516" s="10" t="s">
        <v>559</v>
      </c>
      <c r="L516" s="10" t="s">
        <v>559</v>
      </c>
      <c r="M516" s="9" t="s">
        <v>100</v>
      </c>
      <c r="N516" s="10" t="s">
        <v>722</v>
      </c>
      <c r="O516" s="9" t="s">
        <v>100</v>
      </c>
      <c r="P516" s="10"/>
      <c r="Q516" s="10" t="s">
        <v>722</v>
      </c>
      <c r="R516" s="10" t="s">
        <v>119</v>
      </c>
      <c r="S516" s="10" t="s">
        <v>130</v>
      </c>
      <c r="T516" s="10" t="s">
        <v>120</v>
      </c>
      <c r="U516" s="10" t="s">
        <v>101</v>
      </c>
      <c r="V516" s="10" t="s">
        <v>121</v>
      </c>
      <c r="W516" s="10" t="s">
        <v>122</v>
      </c>
      <c r="X516" s="10" t="s">
        <v>123</v>
      </c>
      <c r="Y516" s="29">
        <v>1</v>
      </c>
      <c r="Z516" s="138" t="s">
        <v>1151</v>
      </c>
      <c r="AA516" s="138">
        <v>45531</v>
      </c>
      <c r="AB516" s="9" t="s">
        <v>114</v>
      </c>
      <c r="AC516" s="9" t="s">
        <v>124</v>
      </c>
      <c r="AD516" s="15">
        <v>45747</v>
      </c>
      <c r="AE516" s="39" t="s">
        <v>125</v>
      </c>
      <c r="AF516" s="177">
        <v>6</v>
      </c>
      <c r="AG516" s="140">
        <v>0</v>
      </c>
      <c r="AH516" s="9">
        <v>0</v>
      </c>
      <c r="AI516" s="10" t="s">
        <v>126</v>
      </c>
      <c r="AJ516" s="10">
        <f>FAR[[#This Row],[Reporting date]]-FAR[[#This Row],[Take-On Date '[dd-mm-yy']]]</f>
        <v>216</v>
      </c>
      <c r="AK516" s="29">
        <f>FAR[[#This Row],[Years utilised in Days ]]/365</f>
        <v>0.59178082191780823</v>
      </c>
      <c r="AL516" s="12">
        <v>5.4082191780821915</v>
      </c>
      <c r="AM516" s="10">
        <v>0</v>
      </c>
      <c r="AN516" s="12">
        <f>FAR[[#This Row],[Opening RUL]]+FAR[[#This Row],[RUL Adjustment]]</f>
        <v>5.4082191780821915</v>
      </c>
      <c r="AO516" s="12">
        <f>FAR[[#This Row],[EUL]]-FAR[[#This Row],[Years utilised in Years]]</f>
        <v>5.4082191780821915</v>
      </c>
      <c r="AP516" s="12" t="s">
        <v>1050</v>
      </c>
      <c r="AQ516" s="139"/>
      <c r="AR516" s="10" t="s">
        <v>127</v>
      </c>
      <c r="AS516" s="13"/>
      <c r="AT516" s="13"/>
      <c r="AU516" s="13"/>
      <c r="AV516" s="13"/>
      <c r="AW516" s="13"/>
      <c r="AX516" s="13"/>
      <c r="AY516" s="226">
        <v>0</v>
      </c>
      <c r="AZ516" s="13">
        <v>0</v>
      </c>
      <c r="BA516" s="13"/>
      <c r="BB516" s="13"/>
      <c r="BC516" s="13">
        <v>0</v>
      </c>
      <c r="BD516" s="13"/>
      <c r="BE516" s="13" t="s">
        <v>114</v>
      </c>
      <c r="BF516" s="29"/>
      <c r="BG516" s="13"/>
      <c r="BH516" s="13">
        <f>-FAR[[#This Row],[Carrying value (opening balance)]]/FAR[[#This Row],[Opening RUL 30 June 2026]]</f>
        <v>0</v>
      </c>
      <c r="BI516" s="13">
        <f>FAR[[#This Row],[Depreciation YTD]]/12</f>
        <v>0</v>
      </c>
      <c r="BJ516" s="13"/>
      <c r="BK516" s="13" t="s">
        <v>116</v>
      </c>
      <c r="BL516" s="13">
        <v>0</v>
      </c>
      <c r="BM516" s="13">
        <f>FAR[[#This Row],[Accumulated depreciation (Opening balance)]]+FAR[[#This Row],[Depreciation YTD]]+FAR[[#This Row],[Derecognitions (acc dep) '[+']]]</f>
        <v>0</v>
      </c>
      <c r="BN516" s="13"/>
      <c r="BO516" s="13"/>
      <c r="BP516" s="13"/>
      <c r="BQ516" s="13"/>
      <c r="BR51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16" s="13">
        <f>FAR[[#This Row],[Cost Price (closing balance)]]+FAR[[#This Row],[Accumulated depreciation (Closing balance)]]+FAR[[#This Row],[Accumulated impairments (Closing balance)]]</f>
        <v>0</v>
      </c>
      <c r="BT516" s="13">
        <f>FAR[[#This Row],[Accumulated depreciation (Opening balance)]]</f>
        <v>0</v>
      </c>
      <c r="BU516" s="13"/>
      <c r="BV516" s="13"/>
      <c r="BW516" s="10"/>
      <c r="BX516" s="9"/>
      <c r="BY516" s="10"/>
      <c r="BZ516"/>
      <c r="CA516" t="s">
        <v>1136</v>
      </c>
      <c r="CB516" s="34"/>
      <c r="CC516" s="34"/>
      <c r="CD516" s="34"/>
      <c r="CE516" s="141">
        <f>FAR[[#This Row],[Additions capitalised (@actual cost)]]/FAR[[#This Row],[EUL]]</f>
        <v>0</v>
      </c>
    </row>
    <row r="517" spans="1:83">
      <c r="A517" s="35" t="s">
        <v>1100</v>
      </c>
      <c r="B517" s="9" t="s">
        <v>894</v>
      </c>
      <c r="C517" s="9" t="s">
        <v>54</v>
      </c>
      <c r="D517" s="10" t="s">
        <v>1</v>
      </c>
      <c r="E517" s="9" t="s">
        <v>115</v>
      </c>
      <c r="F517" s="36" t="s">
        <v>99</v>
      </c>
      <c r="G517" s="9" t="s">
        <v>100</v>
      </c>
      <c r="H517" s="3" t="s">
        <v>623</v>
      </c>
      <c r="I517" s="9" t="s">
        <v>100</v>
      </c>
      <c r="J517" s="36" t="s">
        <v>101</v>
      </c>
      <c r="K517" s="10" t="s">
        <v>559</v>
      </c>
      <c r="L517" s="10" t="s">
        <v>559</v>
      </c>
      <c r="M517" s="9" t="s">
        <v>100</v>
      </c>
      <c r="N517" s="10" t="s">
        <v>722</v>
      </c>
      <c r="O517" s="9" t="s">
        <v>100</v>
      </c>
      <c r="P517" s="10"/>
      <c r="Q517" s="10" t="s">
        <v>722</v>
      </c>
      <c r="R517" s="10" t="s">
        <v>119</v>
      </c>
      <c r="S517" s="10" t="s">
        <v>130</v>
      </c>
      <c r="T517" s="10" t="s">
        <v>120</v>
      </c>
      <c r="U517" s="10" t="s">
        <v>101</v>
      </c>
      <c r="V517" s="10" t="s">
        <v>121</v>
      </c>
      <c r="W517" s="10" t="s">
        <v>122</v>
      </c>
      <c r="X517" s="10" t="s">
        <v>123</v>
      </c>
      <c r="Y517" s="29">
        <v>1</v>
      </c>
      <c r="Z517" s="138" t="s">
        <v>1151</v>
      </c>
      <c r="AA517" s="138">
        <v>45531</v>
      </c>
      <c r="AB517" s="9" t="s">
        <v>114</v>
      </c>
      <c r="AC517" s="9" t="s">
        <v>124</v>
      </c>
      <c r="AD517" s="15">
        <v>45747</v>
      </c>
      <c r="AE517" s="39" t="s">
        <v>125</v>
      </c>
      <c r="AF517" s="177">
        <v>6</v>
      </c>
      <c r="AG517" s="140">
        <v>0</v>
      </c>
      <c r="AH517" s="9">
        <v>0</v>
      </c>
      <c r="AI517" s="10" t="s">
        <v>126</v>
      </c>
      <c r="AJ517" s="10">
        <f>FAR[[#This Row],[Reporting date]]-FAR[[#This Row],[Take-On Date '[dd-mm-yy']]]</f>
        <v>216</v>
      </c>
      <c r="AK517" s="29">
        <f>FAR[[#This Row],[Years utilised in Days ]]/365</f>
        <v>0.59178082191780823</v>
      </c>
      <c r="AL517" s="12">
        <v>5.4082191780821915</v>
      </c>
      <c r="AM517" s="10">
        <v>0</v>
      </c>
      <c r="AN517" s="12">
        <f>FAR[[#This Row],[Opening RUL]]+FAR[[#This Row],[RUL Adjustment]]</f>
        <v>5.4082191780821915</v>
      </c>
      <c r="AO517" s="12">
        <f>FAR[[#This Row],[EUL]]-FAR[[#This Row],[Years utilised in Years]]</f>
        <v>5.4082191780821915</v>
      </c>
      <c r="AP517" s="12" t="s">
        <v>1050</v>
      </c>
      <c r="AQ517" s="139"/>
      <c r="AR517" s="10" t="s">
        <v>127</v>
      </c>
      <c r="AS517" s="13"/>
      <c r="AT517" s="13"/>
      <c r="AU517" s="13"/>
      <c r="AV517" s="13"/>
      <c r="AW517" s="13"/>
      <c r="AX517" s="13"/>
      <c r="AY517" s="226">
        <v>0</v>
      </c>
      <c r="AZ517" s="13">
        <v>0</v>
      </c>
      <c r="BA517" s="13"/>
      <c r="BB517" s="13"/>
      <c r="BC517" s="13">
        <v>0</v>
      </c>
      <c r="BD517" s="13"/>
      <c r="BE517" s="13" t="s">
        <v>114</v>
      </c>
      <c r="BF517" s="29"/>
      <c r="BG517" s="13"/>
      <c r="BH517" s="13">
        <f>-FAR[[#This Row],[Carrying value (opening balance)]]/FAR[[#This Row],[Opening RUL 30 June 2026]]</f>
        <v>0</v>
      </c>
      <c r="BI517" s="13">
        <f>FAR[[#This Row],[Depreciation YTD]]/12</f>
        <v>0</v>
      </c>
      <c r="BJ517" s="13"/>
      <c r="BK517" s="13" t="s">
        <v>116</v>
      </c>
      <c r="BL517" s="13">
        <v>0</v>
      </c>
      <c r="BM517" s="13">
        <f>FAR[[#This Row],[Accumulated depreciation (Opening balance)]]+FAR[[#This Row],[Depreciation YTD]]+FAR[[#This Row],[Derecognitions (acc dep) '[+']]]</f>
        <v>0</v>
      </c>
      <c r="BN517" s="13"/>
      <c r="BO517" s="13"/>
      <c r="BP517" s="13"/>
      <c r="BQ517" s="13"/>
      <c r="BR51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17" s="13">
        <f>FAR[[#This Row],[Cost Price (closing balance)]]+FAR[[#This Row],[Accumulated depreciation (Closing balance)]]+FAR[[#This Row],[Accumulated impairments (Closing balance)]]</f>
        <v>0</v>
      </c>
      <c r="BT517" s="13">
        <f>FAR[[#This Row],[Accumulated depreciation (Opening balance)]]</f>
        <v>0</v>
      </c>
      <c r="BU517" s="13"/>
      <c r="BV517" s="13"/>
      <c r="BW517" s="10"/>
      <c r="BX517" s="9"/>
      <c r="BY517" s="10"/>
      <c r="BZ517"/>
      <c r="CA517"/>
      <c r="CB517" s="34"/>
      <c r="CC517" s="34"/>
      <c r="CD517" s="34"/>
      <c r="CE517" s="141">
        <f>FAR[[#This Row],[Additions capitalised (@actual cost)]]/FAR[[#This Row],[EUL]]</f>
        <v>0</v>
      </c>
    </row>
    <row r="518" spans="1:83">
      <c r="A518" s="35" t="s">
        <v>1101</v>
      </c>
      <c r="B518" s="9" t="s">
        <v>851</v>
      </c>
      <c r="C518" s="9" t="s">
        <v>54</v>
      </c>
      <c r="D518" s="10" t="s">
        <v>1</v>
      </c>
      <c r="E518" s="9" t="s">
        <v>115</v>
      </c>
      <c r="F518" s="36" t="s">
        <v>99</v>
      </c>
      <c r="G518" s="9" t="s">
        <v>100</v>
      </c>
      <c r="H518" s="3" t="s">
        <v>623</v>
      </c>
      <c r="I518" s="9" t="s">
        <v>100</v>
      </c>
      <c r="J518" s="36" t="s">
        <v>101</v>
      </c>
      <c r="K518" s="10" t="s">
        <v>559</v>
      </c>
      <c r="L518" s="10" t="s">
        <v>559</v>
      </c>
      <c r="M518" s="9" t="s">
        <v>100</v>
      </c>
      <c r="N518" s="10" t="s">
        <v>722</v>
      </c>
      <c r="O518" s="9" t="s">
        <v>100</v>
      </c>
      <c r="P518" s="10"/>
      <c r="Q518" s="10" t="s">
        <v>722</v>
      </c>
      <c r="R518" s="10" t="s">
        <v>119</v>
      </c>
      <c r="S518" s="10" t="s">
        <v>130</v>
      </c>
      <c r="T518" s="10" t="s">
        <v>120</v>
      </c>
      <c r="U518" s="10" t="s">
        <v>101</v>
      </c>
      <c r="V518" s="10" t="s">
        <v>121</v>
      </c>
      <c r="W518" s="10" t="s">
        <v>122</v>
      </c>
      <c r="X518" s="10" t="s">
        <v>123</v>
      </c>
      <c r="Y518" s="29">
        <v>1</v>
      </c>
      <c r="Z518" s="138" t="s">
        <v>1151</v>
      </c>
      <c r="AA518" s="138">
        <v>45531</v>
      </c>
      <c r="AB518" s="9" t="s">
        <v>114</v>
      </c>
      <c r="AC518" s="9" t="s">
        <v>124</v>
      </c>
      <c r="AD518" s="15">
        <v>45747</v>
      </c>
      <c r="AE518" s="39" t="s">
        <v>125</v>
      </c>
      <c r="AF518" s="177">
        <v>6</v>
      </c>
      <c r="AG518" s="140">
        <v>0</v>
      </c>
      <c r="AH518" s="9">
        <v>0</v>
      </c>
      <c r="AI518" s="10" t="s">
        <v>126</v>
      </c>
      <c r="AJ518" s="10">
        <f>FAR[[#This Row],[Reporting date]]-FAR[[#This Row],[Take-On Date '[dd-mm-yy']]]</f>
        <v>216</v>
      </c>
      <c r="AK518" s="29">
        <f>FAR[[#This Row],[Years utilised in Days ]]/365</f>
        <v>0.59178082191780823</v>
      </c>
      <c r="AL518" s="12">
        <v>5.4082191780821915</v>
      </c>
      <c r="AM518" s="10">
        <v>0</v>
      </c>
      <c r="AN518" s="12">
        <f>FAR[[#This Row],[Opening RUL]]+FAR[[#This Row],[RUL Adjustment]]</f>
        <v>5.4082191780821915</v>
      </c>
      <c r="AO518" s="12">
        <f>FAR[[#This Row],[EUL]]-FAR[[#This Row],[Years utilised in Years]]</f>
        <v>5.4082191780821915</v>
      </c>
      <c r="AP518" s="12" t="s">
        <v>1050</v>
      </c>
      <c r="AQ518" s="139"/>
      <c r="AR518" s="10" t="s">
        <v>127</v>
      </c>
      <c r="AS518" s="13"/>
      <c r="AT518" s="13"/>
      <c r="AU518" s="13"/>
      <c r="AV518" s="13"/>
      <c r="AW518" s="13"/>
      <c r="AX518" s="13"/>
      <c r="AY518" s="226">
        <v>0</v>
      </c>
      <c r="AZ518" s="13">
        <v>0</v>
      </c>
      <c r="BA518" s="13"/>
      <c r="BB518" s="13"/>
      <c r="BC518" s="13">
        <v>0</v>
      </c>
      <c r="BD518" s="13"/>
      <c r="BE518" s="13" t="s">
        <v>114</v>
      </c>
      <c r="BF518" s="29"/>
      <c r="BG518" s="13"/>
      <c r="BH518" s="13">
        <f>-FAR[[#This Row],[Carrying value (opening balance)]]/FAR[[#This Row],[Opening RUL 30 June 2026]]</f>
        <v>0</v>
      </c>
      <c r="BI518" s="13">
        <f>FAR[[#This Row],[Depreciation YTD]]/12</f>
        <v>0</v>
      </c>
      <c r="BJ518" s="13"/>
      <c r="BK518" s="13" t="s">
        <v>116</v>
      </c>
      <c r="BL518" s="13">
        <v>0</v>
      </c>
      <c r="BM518" s="13">
        <f>FAR[[#This Row],[Accumulated depreciation (Opening balance)]]+FAR[[#This Row],[Depreciation YTD]]+FAR[[#This Row],[Derecognitions (acc dep) '[+']]]</f>
        <v>0</v>
      </c>
      <c r="BN518" s="13"/>
      <c r="BO518" s="13"/>
      <c r="BP518" s="13"/>
      <c r="BQ518" s="13"/>
      <c r="BR51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18" s="13">
        <f>FAR[[#This Row],[Cost Price (closing balance)]]+FAR[[#This Row],[Accumulated depreciation (Closing balance)]]+FAR[[#This Row],[Accumulated impairments (Closing balance)]]</f>
        <v>0</v>
      </c>
      <c r="BT518" s="13">
        <f>FAR[[#This Row],[Accumulated depreciation (Opening balance)]]</f>
        <v>0</v>
      </c>
      <c r="BU518" s="13"/>
      <c r="BV518" s="13"/>
      <c r="BW518" s="10"/>
      <c r="BX518" s="9"/>
      <c r="BY518" s="10"/>
      <c r="BZ518"/>
      <c r="CA518"/>
      <c r="CB518" s="34"/>
      <c r="CC518" s="34"/>
      <c r="CD518" s="34"/>
      <c r="CE518" s="141">
        <f>FAR[[#This Row],[Additions capitalised (@actual cost)]]/FAR[[#This Row],[EUL]]</f>
        <v>0</v>
      </c>
    </row>
    <row r="519" spans="1:83">
      <c r="A519" s="35" t="s">
        <v>1102</v>
      </c>
      <c r="B519" s="9" t="s">
        <v>851</v>
      </c>
      <c r="C519" s="9" t="s">
        <v>54</v>
      </c>
      <c r="D519" s="10" t="s">
        <v>1</v>
      </c>
      <c r="E519" s="9" t="s">
        <v>115</v>
      </c>
      <c r="F519" s="36" t="s">
        <v>99</v>
      </c>
      <c r="G519" s="9" t="s">
        <v>100</v>
      </c>
      <c r="H519" s="3" t="s">
        <v>623</v>
      </c>
      <c r="I519" s="9" t="s">
        <v>100</v>
      </c>
      <c r="J519" s="36" t="s">
        <v>101</v>
      </c>
      <c r="K519" s="10" t="s">
        <v>559</v>
      </c>
      <c r="L519" s="10" t="s">
        <v>559</v>
      </c>
      <c r="M519" s="9" t="s">
        <v>100</v>
      </c>
      <c r="N519" s="10" t="s">
        <v>722</v>
      </c>
      <c r="O519" s="9" t="s">
        <v>100</v>
      </c>
      <c r="P519" s="10"/>
      <c r="Q519" s="10" t="s">
        <v>722</v>
      </c>
      <c r="R519" s="10" t="s">
        <v>119</v>
      </c>
      <c r="S519" s="10" t="s">
        <v>130</v>
      </c>
      <c r="T519" s="10" t="s">
        <v>120</v>
      </c>
      <c r="U519" s="10" t="s">
        <v>101</v>
      </c>
      <c r="V519" s="10" t="s">
        <v>121</v>
      </c>
      <c r="W519" s="10" t="s">
        <v>122</v>
      </c>
      <c r="X519" s="10" t="s">
        <v>123</v>
      </c>
      <c r="Y519" s="29">
        <v>1</v>
      </c>
      <c r="Z519" s="138" t="s">
        <v>1151</v>
      </c>
      <c r="AA519" s="138">
        <v>45531</v>
      </c>
      <c r="AB519" s="9" t="s">
        <v>114</v>
      </c>
      <c r="AC519" s="9" t="s">
        <v>124</v>
      </c>
      <c r="AD519" s="15">
        <v>45747</v>
      </c>
      <c r="AE519" s="39" t="s">
        <v>125</v>
      </c>
      <c r="AF519" s="177">
        <v>6</v>
      </c>
      <c r="AG519" s="140">
        <v>0</v>
      </c>
      <c r="AH519" s="9">
        <v>0</v>
      </c>
      <c r="AI519" s="10" t="s">
        <v>126</v>
      </c>
      <c r="AJ519" s="10">
        <f>FAR[[#This Row],[Reporting date]]-FAR[[#This Row],[Take-On Date '[dd-mm-yy']]]</f>
        <v>216</v>
      </c>
      <c r="AK519" s="29">
        <f>FAR[[#This Row],[Years utilised in Days ]]/365</f>
        <v>0.59178082191780823</v>
      </c>
      <c r="AL519" s="12">
        <v>5.4082191780821915</v>
      </c>
      <c r="AM519" s="10">
        <v>0</v>
      </c>
      <c r="AN519" s="12">
        <f>FAR[[#This Row],[Opening RUL]]+FAR[[#This Row],[RUL Adjustment]]</f>
        <v>5.4082191780821915</v>
      </c>
      <c r="AO519" s="12">
        <f>FAR[[#This Row],[EUL]]-FAR[[#This Row],[Years utilised in Years]]</f>
        <v>5.4082191780821915</v>
      </c>
      <c r="AP519" s="12" t="s">
        <v>1050</v>
      </c>
      <c r="AQ519" s="139"/>
      <c r="AR519" s="10" t="s">
        <v>127</v>
      </c>
      <c r="AS519" s="13"/>
      <c r="AT519" s="13"/>
      <c r="AU519" s="13"/>
      <c r="AV519" s="13"/>
      <c r="AW519" s="13"/>
      <c r="AX519" s="13"/>
      <c r="AY519" s="226">
        <v>0</v>
      </c>
      <c r="AZ519" s="13">
        <v>0</v>
      </c>
      <c r="BA519" s="13"/>
      <c r="BB519" s="13"/>
      <c r="BC519" s="13">
        <v>0</v>
      </c>
      <c r="BD519" s="13"/>
      <c r="BE519" s="13" t="s">
        <v>114</v>
      </c>
      <c r="BF519" s="29"/>
      <c r="BG519" s="13"/>
      <c r="BH519" s="13">
        <f>-FAR[[#This Row],[Carrying value (opening balance)]]/FAR[[#This Row],[Opening RUL 30 June 2026]]</f>
        <v>0</v>
      </c>
      <c r="BI519" s="13">
        <f>FAR[[#This Row],[Depreciation YTD]]/12</f>
        <v>0</v>
      </c>
      <c r="BJ519" s="13"/>
      <c r="BK519" s="13" t="s">
        <v>116</v>
      </c>
      <c r="BL519" s="13">
        <v>0</v>
      </c>
      <c r="BM519" s="13">
        <f>FAR[[#This Row],[Accumulated depreciation (Opening balance)]]+FAR[[#This Row],[Depreciation YTD]]+FAR[[#This Row],[Derecognitions (acc dep) '[+']]]</f>
        <v>0</v>
      </c>
      <c r="BN519" s="13"/>
      <c r="BO519" s="13"/>
      <c r="BP519" s="13"/>
      <c r="BQ519" s="13"/>
      <c r="BR51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19" s="13">
        <f>FAR[[#This Row],[Cost Price (closing balance)]]+FAR[[#This Row],[Accumulated depreciation (Closing balance)]]+FAR[[#This Row],[Accumulated impairments (Closing balance)]]</f>
        <v>0</v>
      </c>
      <c r="BT519" s="13">
        <f>FAR[[#This Row],[Accumulated depreciation (Opening balance)]]</f>
        <v>0</v>
      </c>
      <c r="BU519" s="13"/>
      <c r="BV519" s="13"/>
      <c r="BW519" s="10"/>
      <c r="BX519" s="9"/>
      <c r="BY519" s="10"/>
      <c r="BZ519"/>
      <c r="CA519"/>
      <c r="CB519" s="34"/>
      <c r="CC519" s="34"/>
      <c r="CD519" s="34"/>
      <c r="CE519" s="141">
        <f>FAR[[#This Row],[Additions capitalised (@actual cost)]]/FAR[[#This Row],[EUL]]</f>
        <v>0</v>
      </c>
    </row>
    <row r="520" spans="1:83">
      <c r="A520" s="35"/>
      <c r="B520" s="9" t="e">
        <f>VLOOKUP([4]!FAR[[#This Row],[Component ID/ Bar code]],[3]nhc!$I$1:$P$686,8,0)</f>
        <v>#REF!</v>
      </c>
      <c r="C520" s="9" t="s">
        <v>54</v>
      </c>
      <c r="D520" s="10" t="s">
        <v>1</v>
      </c>
      <c r="E520" s="9" t="s">
        <v>115</v>
      </c>
      <c r="F520" s="36" t="s">
        <v>99</v>
      </c>
      <c r="G520" s="9" t="s">
        <v>100</v>
      </c>
      <c r="H520" s="3" t="s">
        <v>623</v>
      </c>
      <c r="I520" s="9" t="s">
        <v>100</v>
      </c>
      <c r="J520" s="36" t="s">
        <v>101</v>
      </c>
      <c r="K520" s="10" t="s">
        <v>559</v>
      </c>
      <c r="L520" s="10" t="s">
        <v>559</v>
      </c>
      <c r="M520" s="9" t="s">
        <v>100</v>
      </c>
      <c r="N520" s="10" t="s">
        <v>722</v>
      </c>
      <c r="O520" s="9" t="s">
        <v>100</v>
      </c>
      <c r="P520" s="10"/>
      <c r="Q520" s="10" t="s">
        <v>722</v>
      </c>
      <c r="R520" s="10" t="s">
        <v>119</v>
      </c>
      <c r="S520" s="10" t="s">
        <v>130</v>
      </c>
      <c r="T520" s="10" t="s">
        <v>120</v>
      </c>
      <c r="U520" s="10" t="s">
        <v>101</v>
      </c>
      <c r="V520" s="10" t="s">
        <v>121</v>
      </c>
      <c r="W520" s="10" t="s">
        <v>122</v>
      </c>
      <c r="X520" s="10" t="s">
        <v>123</v>
      </c>
      <c r="Y520" s="29">
        <v>1</v>
      </c>
      <c r="Z520" s="138" t="s">
        <v>1151</v>
      </c>
      <c r="AA520" s="138">
        <v>45531</v>
      </c>
      <c r="AB520" s="9" t="s">
        <v>114</v>
      </c>
      <c r="AC520" s="9" t="s">
        <v>124</v>
      </c>
      <c r="AD520" s="15">
        <v>45747</v>
      </c>
      <c r="AE520" s="39" t="s">
        <v>125</v>
      </c>
      <c r="AF520" s="177">
        <v>6</v>
      </c>
      <c r="AG520" s="140">
        <v>0</v>
      </c>
      <c r="AH520" s="9">
        <v>0</v>
      </c>
      <c r="AI520" s="10" t="s">
        <v>126</v>
      </c>
      <c r="AJ520" s="10">
        <f>FAR[[#This Row],[Reporting date]]-FAR[[#This Row],[Take-On Date '[dd-mm-yy']]]</f>
        <v>216</v>
      </c>
      <c r="AK520" s="29">
        <f>FAR[[#This Row],[Years utilised in Days ]]/365</f>
        <v>0.59178082191780823</v>
      </c>
      <c r="AL520" s="12">
        <v>5.4082191780821915</v>
      </c>
      <c r="AM520" s="10">
        <v>0</v>
      </c>
      <c r="AN520" s="12">
        <f>FAR[[#This Row],[Opening RUL]]+FAR[[#This Row],[RUL Adjustment]]</f>
        <v>5.4082191780821915</v>
      </c>
      <c r="AO520" s="12">
        <f>FAR[[#This Row],[EUL]]-FAR[[#This Row],[Years utilised in Years]]</f>
        <v>5.4082191780821915</v>
      </c>
      <c r="AP520" s="12" t="s">
        <v>1050</v>
      </c>
      <c r="AQ520" s="139"/>
      <c r="AR520" s="10" t="s">
        <v>127</v>
      </c>
      <c r="AS520" s="13"/>
      <c r="AT520" s="13"/>
      <c r="AU520" s="13"/>
      <c r="AV520" s="13"/>
      <c r="AW520" s="13"/>
      <c r="AX520" s="13"/>
      <c r="AY520" s="226">
        <v>0</v>
      </c>
      <c r="AZ520" s="13">
        <v>0</v>
      </c>
      <c r="BA520" s="13"/>
      <c r="BB520" s="13"/>
      <c r="BC520" s="13">
        <v>0</v>
      </c>
      <c r="BD520" s="13"/>
      <c r="BE520" s="13" t="s">
        <v>114</v>
      </c>
      <c r="BF520" s="29"/>
      <c r="BG520" s="13"/>
      <c r="BH520" s="13">
        <f>-FAR[[#This Row],[Carrying value (opening balance)]]/FAR[[#This Row],[Opening RUL 30 June 2026]]</f>
        <v>0</v>
      </c>
      <c r="BI520" s="13">
        <f>FAR[[#This Row],[Depreciation YTD]]/12</f>
        <v>0</v>
      </c>
      <c r="BJ520" s="13"/>
      <c r="BK520" s="13" t="s">
        <v>116</v>
      </c>
      <c r="BL520" s="13">
        <v>0</v>
      </c>
      <c r="BM520" s="13">
        <f>FAR[[#This Row],[Accumulated depreciation (Opening balance)]]+FAR[[#This Row],[Depreciation YTD]]+FAR[[#This Row],[Derecognitions (acc dep) '[+']]]</f>
        <v>0</v>
      </c>
      <c r="BN520" s="13"/>
      <c r="BO520" s="13"/>
      <c r="BP520" s="13"/>
      <c r="BQ520" s="13"/>
      <c r="BR52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20" s="13">
        <f>FAR[[#This Row],[Cost Price (closing balance)]]+FAR[[#This Row],[Accumulated depreciation (Closing balance)]]+FAR[[#This Row],[Accumulated impairments (Closing balance)]]</f>
        <v>0</v>
      </c>
      <c r="BT520" s="13">
        <f>FAR[[#This Row],[Accumulated depreciation (Opening balance)]]</f>
        <v>0</v>
      </c>
      <c r="BU520" s="13"/>
      <c r="BV520" s="13"/>
      <c r="BW520" s="10"/>
      <c r="BX520" s="9"/>
      <c r="BY520" s="10"/>
      <c r="BZ520"/>
      <c r="CA520"/>
      <c r="CB520" s="34"/>
      <c r="CC520" s="34"/>
      <c r="CD520" s="34"/>
      <c r="CE520" s="141">
        <f>FAR[[#This Row],[Additions capitalised (@actual cost)]]/FAR[[#This Row],[EUL]]</f>
        <v>0</v>
      </c>
    </row>
    <row r="521" spans="1:83">
      <c r="A521" s="35"/>
      <c r="B521" s="9" t="e">
        <f>VLOOKUP([4]!FAR[[#This Row],[Component ID/ Bar code]],[3]nhc!$I$1:$P$686,8,0)</f>
        <v>#REF!</v>
      </c>
      <c r="C521" s="9" t="s">
        <v>54</v>
      </c>
      <c r="D521" s="10" t="s">
        <v>1</v>
      </c>
      <c r="E521" s="9" t="s">
        <v>115</v>
      </c>
      <c r="F521" s="36" t="s">
        <v>99</v>
      </c>
      <c r="G521" s="9" t="s">
        <v>100</v>
      </c>
      <c r="H521" s="3" t="s">
        <v>623</v>
      </c>
      <c r="I521" s="9" t="s">
        <v>100</v>
      </c>
      <c r="J521" s="36" t="s">
        <v>101</v>
      </c>
      <c r="K521" s="10" t="s">
        <v>559</v>
      </c>
      <c r="L521" s="10" t="s">
        <v>559</v>
      </c>
      <c r="M521" s="9" t="s">
        <v>100</v>
      </c>
      <c r="N521" s="10" t="s">
        <v>722</v>
      </c>
      <c r="O521" s="9" t="s">
        <v>100</v>
      </c>
      <c r="P521" s="10"/>
      <c r="Q521" s="10" t="s">
        <v>722</v>
      </c>
      <c r="R521" s="10" t="s">
        <v>119</v>
      </c>
      <c r="S521" s="10" t="s">
        <v>130</v>
      </c>
      <c r="T521" s="10" t="s">
        <v>120</v>
      </c>
      <c r="U521" s="10" t="s">
        <v>101</v>
      </c>
      <c r="V521" s="10" t="s">
        <v>121</v>
      </c>
      <c r="W521" s="10" t="s">
        <v>122</v>
      </c>
      <c r="X521" s="10" t="s">
        <v>123</v>
      </c>
      <c r="Y521" s="29">
        <v>1</v>
      </c>
      <c r="Z521" s="138" t="s">
        <v>1151</v>
      </c>
      <c r="AA521" s="138">
        <v>45531</v>
      </c>
      <c r="AB521" s="9" t="s">
        <v>114</v>
      </c>
      <c r="AC521" s="9" t="s">
        <v>124</v>
      </c>
      <c r="AD521" s="15">
        <v>45747</v>
      </c>
      <c r="AE521" s="39" t="s">
        <v>125</v>
      </c>
      <c r="AF521" s="177">
        <v>6</v>
      </c>
      <c r="AG521" s="140">
        <v>0</v>
      </c>
      <c r="AH521" s="9">
        <v>0</v>
      </c>
      <c r="AI521" s="10" t="s">
        <v>126</v>
      </c>
      <c r="AJ521" s="10">
        <f>FAR[[#This Row],[Reporting date]]-FAR[[#This Row],[Take-On Date '[dd-mm-yy']]]</f>
        <v>216</v>
      </c>
      <c r="AK521" s="29">
        <f>FAR[[#This Row],[Years utilised in Days ]]/365</f>
        <v>0.59178082191780823</v>
      </c>
      <c r="AL521" s="12">
        <v>5.4082191780821915</v>
      </c>
      <c r="AM521" s="10">
        <v>0</v>
      </c>
      <c r="AN521" s="12">
        <f>FAR[[#This Row],[Opening RUL]]+FAR[[#This Row],[RUL Adjustment]]</f>
        <v>5.4082191780821915</v>
      </c>
      <c r="AO521" s="12">
        <f>FAR[[#This Row],[EUL]]-FAR[[#This Row],[Years utilised in Years]]</f>
        <v>5.4082191780821915</v>
      </c>
      <c r="AP521" s="12" t="s">
        <v>1050</v>
      </c>
      <c r="AQ521" s="139"/>
      <c r="AR521" s="10" t="s">
        <v>127</v>
      </c>
      <c r="AS521" s="13"/>
      <c r="AT521" s="13"/>
      <c r="AU521" s="13"/>
      <c r="AV521" s="13"/>
      <c r="AW521" s="13"/>
      <c r="AX521" s="13"/>
      <c r="AY521" s="226">
        <v>0</v>
      </c>
      <c r="AZ521" s="13">
        <v>0</v>
      </c>
      <c r="BA521" s="13"/>
      <c r="BB521" s="13"/>
      <c r="BC521" s="13">
        <v>0</v>
      </c>
      <c r="BD521" s="13"/>
      <c r="BE521" s="13" t="s">
        <v>114</v>
      </c>
      <c r="BF521" s="29"/>
      <c r="BG521" s="13"/>
      <c r="BH521" s="13">
        <f>-FAR[[#This Row],[Carrying value (opening balance)]]/FAR[[#This Row],[Opening RUL 30 June 2026]]</f>
        <v>0</v>
      </c>
      <c r="BI521" s="13">
        <f>FAR[[#This Row],[Depreciation YTD]]/12</f>
        <v>0</v>
      </c>
      <c r="BJ521" s="13"/>
      <c r="BK521" s="13" t="s">
        <v>116</v>
      </c>
      <c r="BL521" s="13">
        <v>0</v>
      </c>
      <c r="BM521" s="13">
        <f>FAR[[#This Row],[Accumulated depreciation (Opening balance)]]+FAR[[#This Row],[Depreciation YTD]]+FAR[[#This Row],[Derecognitions (acc dep) '[+']]]</f>
        <v>0</v>
      </c>
      <c r="BN521" s="13"/>
      <c r="BO521" s="13"/>
      <c r="BP521" s="13"/>
      <c r="BQ521" s="13"/>
      <c r="BR52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21" s="13">
        <f>FAR[[#This Row],[Cost Price (closing balance)]]+FAR[[#This Row],[Accumulated depreciation (Closing balance)]]+FAR[[#This Row],[Accumulated impairments (Closing balance)]]</f>
        <v>0</v>
      </c>
      <c r="BT521" s="13">
        <f>FAR[[#This Row],[Accumulated depreciation (Opening balance)]]</f>
        <v>0</v>
      </c>
      <c r="BU521" s="13"/>
      <c r="BV521" s="13"/>
      <c r="BW521" s="10"/>
      <c r="BX521" s="9"/>
      <c r="BY521" s="10"/>
      <c r="BZ521"/>
      <c r="CA521"/>
      <c r="CB521" s="34"/>
      <c r="CC521" s="34"/>
      <c r="CD521" s="34"/>
      <c r="CE521" s="141">
        <f>FAR[[#This Row],[Additions capitalised (@actual cost)]]/FAR[[#This Row],[EUL]]</f>
        <v>0</v>
      </c>
    </row>
    <row r="522" spans="1:83">
      <c r="A522" s="35" t="s">
        <v>1103</v>
      </c>
      <c r="B522" s="9" t="s">
        <v>866</v>
      </c>
      <c r="C522" s="9" t="s">
        <v>54</v>
      </c>
      <c r="D522" s="10" t="s">
        <v>1</v>
      </c>
      <c r="E522" s="9" t="s">
        <v>115</v>
      </c>
      <c r="F522" s="36" t="s">
        <v>99</v>
      </c>
      <c r="G522" s="9" t="s">
        <v>100</v>
      </c>
      <c r="H522" s="3" t="s">
        <v>103</v>
      </c>
      <c r="I522" s="9" t="s">
        <v>100</v>
      </c>
      <c r="J522" s="36" t="s">
        <v>101</v>
      </c>
      <c r="K522" s="10" t="s">
        <v>559</v>
      </c>
      <c r="L522" s="10" t="s">
        <v>559</v>
      </c>
      <c r="M522" s="9" t="s">
        <v>100</v>
      </c>
      <c r="N522" s="10" t="s">
        <v>1147</v>
      </c>
      <c r="O522" s="9" t="s">
        <v>100</v>
      </c>
      <c r="P522" s="10"/>
      <c r="Q522" s="10" t="s">
        <v>1147</v>
      </c>
      <c r="R522" s="10" t="s">
        <v>119</v>
      </c>
      <c r="S522" s="10" t="s">
        <v>130</v>
      </c>
      <c r="T522" s="10" t="s">
        <v>120</v>
      </c>
      <c r="U522" s="10" t="s">
        <v>101</v>
      </c>
      <c r="V522" s="10" t="s">
        <v>121</v>
      </c>
      <c r="W522" s="10" t="s">
        <v>122</v>
      </c>
      <c r="X522" s="10" t="s">
        <v>123</v>
      </c>
      <c r="Y522" s="29">
        <v>1</v>
      </c>
      <c r="Z522" s="138" t="s">
        <v>1153</v>
      </c>
      <c r="AA522" s="138">
        <v>45453</v>
      </c>
      <c r="AB522" s="9" t="s">
        <v>114</v>
      </c>
      <c r="AC522" s="9" t="s">
        <v>124</v>
      </c>
      <c r="AD522" s="15">
        <v>45747</v>
      </c>
      <c r="AE522" s="39" t="s">
        <v>125</v>
      </c>
      <c r="AF522" s="177">
        <v>6</v>
      </c>
      <c r="AG522" s="140">
        <v>0</v>
      </c>
      <c r="AH522" s="9">
        <v>0</v>
      </c>
      <c r="AI522" s="10" t="s">
        <v>126</v>
      </c>
      <c r="AJ522" s="10">
        <f>FAR[[#This Row],[Reporting date]]-FAR[[#This Row],[Take-On Date '[dd-mm-yy']]]</f>
        <v>294</v>
      </c>
      <c r="AK522" s="29">
        <f>FAR[[#This Row],[Years utilised in Days ]]/365</f>
        <v>0.80547945205479454</v>
      </c>
      <c r="AL522" s="12">
        <v>5.1945205479452055</v>
      </c>
      <c r="AM522" s="10">
        <v>0</v>
      </c>
      <c r="AN522" s="12">
        <f>FAR[[#This Row],[Opening RUL]]+FAR[[#This Row],[RUL Adjustment]]</f>
        <v>5.1945205479452055</v>
      </c>
      <c r="AO522" s="12">
        <f>FAR[[#This Row],[EUL]]-FAR[[#This Row],[Years utilised in Years]]</f>
        <v>5.1945205479452055</v>
      </c>
      <c r="AP522" s="12" t="s">
        <v>1054</v>
      </c>
      <c r="AQ522" s="139"/>
      <c r="AR522" s="10" t="s">
        <v>127</v>
      </c>
      <c r="AS522" s="13">
        <v>29000</v>
      </c>
      <c r="AT522" s="13"/>
      <c r="AU522" s="13"/>
      <c r="AV522" s="13"/>
      <c r="AW522" s="13"/>
      <c r="AX522" s="13">
        <v>29000</v>
      </c>
      <c r="AY522" s="226">
        <v>25106.849315068492</v>
      </c>
      <c r="AZ522" s="13">
        <v>0</v>
      </c>
      <c r="BA522" s="13"/>
      <c r="BB522" s="13"/>
      <c r="BC522" s="13">
        <v>-3893.1506849315069</v>
      </c>
      <c r="BD522" s="13"/>
      <c r="BE522" s="13" t="s">
        <v>114</v>
      </c>
      <c r="BF522" s="29"/>
      <c r="BG522" s="13"/>
      <c r="BH522" s="13">
        <f>-FAR[[#This Row],[Carrying value (opening balance)]]/FAR[[#This Row],[Opening RUL 30 June 2026]]</f>
        <v>-4833.333333333333</v>
      </c>
      <c r="BI522" s="13">
        <f>FAR[[#This Row],[Depreciation YTD]]/12</f>
        <v>-402.77777777777777</v>
      </c>
      <c r="BJ522" s="13"/>
      <c r="BK522" s="13" t="s">
        <v>116</v>
      </c>
      <c r="BL522" s="13">
        <v>0</v>
      </c>
      <c r="BM522" s="13">
        <f>FAR[[#This Row],[Accumulated depreciation (Opening balance)]]+FAR[[#This Row],[Depreciation YTD]]+FAR[[#This Row],[Derecognitions (acc dep) '[+']]]</f>
        <v>-8726.4840182648404</v>
      </c>
      <c r="BN522" s="13"/>
      <c r="BO522" s="13"/>
      <c r="BP522" s="13"/>
      <c r="BQ522" s="13"/>
      <c r="BR52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22" s="13">
        <f>FAR[[#This Row],[Cost Price (closing balance)]]+FAR[[#This Row],[Accumulated depreciation (Closing balance)]]+FAR[[#This Row],[Accumulated impairments (Closing balance)]]</f>
        <v>20273.51598173516</v>
      </c>
      <c r="BT522" s="13">
        <f>FAR[[#This Row],[Accumulated depreciation (Opening balance)]]</f>
        <v>-3893.1506849315069</v>
      </c>
      <c r="BU522" s="13"/>
      <c r="BV522" s="13"/>
      <c r="BW522" s="10"/>
      <c r="BX522" s="9"/>
      <c r="BY522" s="10"/>
      <c r="BZ522"/>
      <c r="CA522"/>
      <c r="CB522" s="34"/>
      <c r="CC522" s="34"/>
      <c r="CD522" s="34"/>
      <c r="CE522" s="141">
        <f>FAR[[#This Row],[Additions capitalised (@actual cost)]]/FAR[[#This Row],[EUL]]</f>
        <v>0</v>
      </c>
    </row>
    <row r="523" spans="1:83">
      <c r="A523" s="35" t="s">
        <v>1104</v>
      </c>
      <c r="B523" s="9" t="s">
        <v>851</v>
      </c>
      <c r="C523" s="9" t="s">
        <v>54</v>
      </c>
      <c r="D523" s="10" t="s">
        <v>1</v>
      </c>
      <c r="E523" s="9" t="s">
        <v>115</v>
      </c>
      <c r="F523" s="36" t="s">
        <v>99</v>
      </c>
      <c r="G523" s="9" t="s">
        <v>100</v>
      </c>
      <c r="H523" s="3" t="s">
        <v>103</v>
      </c>
      <c r="I523" s="9" t="s">
        <v>100</v>
      </c>
      <c r="J523" s="36" t="s">
        <v>101</v>
      </c>
      <c r="K523" s="10" t="s">
        <v>559</v>
      </c>
      <c r="L523" s="10" t="s">
        <v>559</v>
      </c>
      <c r="M523" s="9" t="s">
        <v>100</v>
      </c>
      <c r="N523" s="10" t="s">
        <v>840</v>
      </c>
      <c r="O523" s="9" t="s">
        <v>100</v>
      </c>
      <c r="P523" s="10"/>
      <c r="Q523" s="10" t="s">
        <v>840</v>
      </c>
      <c r="R523" s="10" t="s">
        <v>119</v>
      </c>
      <c r="S523" s="10" t="s">
        <v>130</v>
      </c>
      <c r="T523" s="10" t="s">
        <v>120</v>
      </c>
      <c r="U523" s="10" t="s">
        <v>101</v>
      </c>
      <c r="V523" s="10" t="s">
        <v>121</v>
      </c>
      <c r="W523" s="10" t="s">
        <v>122</v>
      </c>
      <c r="X523" s="10" t="s">
        <v>123</v>
      </c>
      <c r="Y523" s="29">
        <v>1</v>
      </c>
      <c r="Z523" s="138" t="s">
        <v>1150</v>
      </c>
      <c r="AA523" s="138">
        <v>45706</v>
      </c>
      <c r="AB523" s="9" t="s">
        <v>114</v>
      </c>
      <c r="AC523" s="9" t="s">
        <v>124</v>
      </c>
      <c r="AD523" s="15">
        <v>45747</v>
      </c>
      <c r="AE523" s="39" t="s">
        <v>125</v>
      </c>
      <c r="AF523" s="177">
        <v>6</v>
      </c>
      <c r="AG523" s="140">
        <v>0</v>
      </c>
      <c r="AH523" s="9">
        <v>0</v>
      </c>
      <c r="AI523" s="10" t="s">
        <v>126</v>
      </c>
      <c r="AJ523" s="10">
        <f>FAR[[#This Row],[Reporting date]]-FAR[[#This Row],[Take-On Date '[dd-mm-yy']]]</f>
        <v>41</v>
      </c>
      <c r="AK523" s="29">
        <f>FAR[[#This Row],[Years utilised in Days ]]/365</f>
        <v>0.11232876712328767</v>
      </c>
      <c r="AL523" s="12">
        <v>5.8876712328767127</v>
      </c>
      <c r="AM523" s="10">
        <v>0</v>
      </c>
      <c r="AN523" s="12">
        <f>FAR[[#This Row],[Opening RUL]]+FAR[[#This Row],[RUL Adjustment]]</f>
        <v>5.8876712328767127</v>
      </c>
      <c r="AO523" s="12">
        <f>FAR[[#This Row],[EUL]]-FAR[[#This Row],[Years utilised in Years]]</f>
        <v>5.8876712328767127</v>
      </c>
      <c r="AP523" s="12" t="s">
        <v>1054</v>
      </c>
      <c r="AQ523" s="139"/>
      <c r="AR523" s="10" t="s">
        <v>127</v>
      </c>
      <c r="AS523" s="13">
        <v>26291</v>
      </c>
      <c r="AT523" s="13"/>
      <c r="AU523" s="13"/>
      <c r="AV523" s="13"/>
      <c r="AW523" s="13"/>
      <c r="AX523" s="13">
        <v>26291</v>
      </c>
      <c r="AY523" s="226">
        <v>25798.79406392694</v>
      </c>
      <c r="AZ523" s="13">
        <v>0</v>
      </c>
      <c r="BA523" s="13"/>
      <c r="BB523" s="13"/>
      <c r="BC523" s="13">
        <v>-492.20593607305932</v>
      </c>
      <c r="BD523" s="13"/>
      <c r="BE523" s="13" t="s">
        <v>114</v>
      </c>
      <c r="BF523" s="29"/>
      <c r="BG523" s="13"/>
      <c r="BH523" s="13">
        <f>-FAR[[#This Row],[Carrying value (opening balance)]]/FAR[[#This Row],[Opening RUL 30 June 2026]]</f>
        <v>-4381.833333333333</v>
      </c>
      <c r="BI523" s="13">
        <f>FAR[[#This Row],[Depreciation YTD]]/12</f>
        <v>-365.15277777777777</v>
      </c>
      <c r="BJ523" s="13"/>
      <c r="BK523" s="13" t="s">
        <v>116</v>
      </c>
      <c r="BL523" s="13">
        <v>0</v>
      </c>
      <c r="BM523" s="13">
        <f>FAR[[#This Row],[Accumulated depreciation (Opening balance)]]+FAR[[#This Row],[Depreciation YTD]]+FAR[[#This Row],[Derecognitions (acc dep) '[+']]]</f>
        <v>-4874.0392694063921</v>
      </c>
      <c r="BN523" s="13"/>
      <c r="BO523" s="13"/>
      <c r="BP523" s="13"/>
      <c r="BQ523" s="13"/>
      <c r="BR52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23" s="13">
        <f>FAR[[#This Row],[Cost Price (closing balance)]]+FAR[[#This Row],[Accumulated depreciation (Closing balance)]]+FAR[[#This Row],[Accumulated impairments (Closing balance)]]</f>
        <v>21416.960730593608</v>
      </c>
      <c r="BT523" s="13">
        <f>FAR[[#This Row],[Accumulated depreciation (Opening balance)]]</f>
        <v>-492.20593607305932</v>
      </c>
      <c r="BU523" s="13"/>
      <c r="BV523" s="13"/>
      <c r="BW523" s="10"/>
      <c r="BX523" s="9"/>
      <c r="BY523" s="10"/>
      <c r="BZ523"/>
      <c r="CA523"/>
      <c r="CB523" s="34"/>
      <c r="CC523" s="34"/>
      <c r="CD523" s="34"/>
      <c r="CE523" s="141">
        <f>FAR[[#This Row],[Additions capitalised (@actual cost)]]/FAR[[#This Row],[EUL]]</f>
        <v>0</v>
      </c>
    </row>
    <row r="524" spans="1:83">
      <c r="A524" s="35" t="s">
        <v>1105</v>
      </c>
      <c r="B524" s="9" t="s">
        <v>918</v>
      </c>
      <c r="C524" s="9" t="s">
        <v>54</v>
      </c>
      <c r="D524" s="10" t="s">
        <v>1</v>
      </c>
      <c r="E524" s="9" t="s">
        <v>115</v>
      </c>
      <c r="F524" s="36" t="s">
        <v>99</v>
      </c>
      <c r="G524" s="9" t="s">
        <v>100</v>
      </c>
      <c r="H524" s="3" t="s">
        <v>103</v>
      </c>
      <c r="I524" s="9" t="s">
        <v>100</v>
      </c>
      <c r="J524" s="36" t="s">
        <v>101</v>
      </c>
      <c r="K524" s="10" t="s">
        <v>559</v>
      </c>
      <c r="L524" s="10" t="s">
        <v>559</v>
      </c>
      <c r="M524" s="9" t="s">
        <v>100</v>
      </c>
      <c r="N524" s="10" t="s">
        <v>1146</v>
      </c>
      <c r="O524" s="9" t="s">
        <v>100</v>
      </c>
      <c r="P524" s="10"/>
      <c r="Q524" s="10" t="s">
        <v>1146</v>
      </c>
      <c r="R524" s="10" t="s">
        <v>119</v>
      </c>
      <c r="S524" s="10" t="s">
        <v>130</v>
      </c>
      <c r="T524" s="10" t="s">
        <v>120</v>
      </c>
      <c r="U524" s="10" t="s">
        <v>101</v>
      </c>
      <c r="V524" s="10" t="s">
        <v>121</v>
      </c>
      <c r="W524" s="10" t="s">
        <v>122</v>
      </c>
      <c r="X524" s="10" t="s">
        <v>123</v>
      </c>
      <c r="Y524" s="29">
        <v>1</v>
      </c>
      <c r="Z524" s="138" t="s">
        <v>1150</v>
      </c>
      <c r="AA524" s="138">
        <v>45706</v>
      </c>
      <c r="AB524" s="9" t="s">
        <v>114</v>
      </c>
      <c r="AC524" s="9" t="s">
        <v>124</v>
      </c>
      <c r="AD524" s="15">
        <v>45747</v>
      </c>
      <c r="AE524" s="39" t="s">
        <v>125</v>
      </c>
      <c r="AF524" s="177">
        <v>6</v>
      </c>
      <c r="AG524" s="140">
        <v>0</v>
      </c>
      <c r="AH524" s="9">
        <v>0</v>
      </c>
      <c r="AI524" s="10" t="s">
        <v>126</v>
      </c>
      <c r="AJ524" s="10">
        <f>FAR[[#This Row],[Reporting date]]-FAR[[#This Row],[Take-On Date '[dd-mm-yy']]]</f>
        <v>41</v>
      </c>
      <c r="AK524" s="29">
        <f>FAR[[#This Row],[Years utilised in Days ]]/365</f>
        <v>0.11232876712328767</v>
      </c>
      <c r="AL524" s="12">
        <v>5.8876712328767127</v>
      </c>
      <c r="AM524" s="10">
        <v>0</v>
      </c>
      <c r="AN524" s="12">
        <f>FAR[[#This Row],[Opening RUL]]+FAR[[#This Row],[RUL Adjustment]]</f>
        <v>5.8876712328767127</v>
      </c>
      <c r="AO524" s="12">
        <f>FAR[[#This Row],[EUL]]-FAR[[#This Row],[Years utilised in Years]]</f>
        <v>5.8876712328767127</v>
      </c>
      <c r="AP524" s="12" t="s">
        <v>1054</v>
      </c>
      <c r="AQ524" s="139"/>
      <c r="AR524" s="10" t="s">
        <v>127</v>
      </c>
      <c r="AS524" s="13">
        <v>26291</v>
      </c>
      <c r="AT524" s="13"/>
      <c r="AU524" s="13"/>
      <c r="AV524" s="13"/>
      <c r="AW524" s="13"/>
      <c r="AX524" s="13">
        <v>26291</v>
      </c>
      <c r="AY524" s="226">
        <v>25798.79406392694</v>
      </c>
      <c r="AZ524" s="13">
        <v>0</v>
      </c>
      <c r="BA524" s="13"/>
      <c r="BB524" s="13"/>
      <c r="BC524" s="13">
        <v>-492.20593607305932</v>
      </c>
      <c r="BD524" s="13"/>
      <c r="BE524" s="13" t="s">
        <v>114</v>
      </c>
      <c r="BF524" s="29"/>
      <c r="BG524" s="13"/>
      <c r="BH524" s="13">
        <f>-FAR[[#This Row],[Carrying value (opening balance)]]/FAR[[#This Row],[Opening RUL 30 June 2026]]</f>
        <v>-4381.833333333333</v>
      </c>
      <c r="BI524" s="13">
        <f>FAR[[#This Row],[Depreciation YTD]]/12</f>
        <v>-365.15277777777777</v>
      </c>
      <c r="BJ524" s="13"/>
      <c r="BK524" s="13" t="s">
        <v>116</v>
      </c>
      <c r="BL524" s="13">
        <v>0</v>
      </c>
      <c r="BM524" s="13">
        <f>FAR[[#This Row],[Accumulated depreciation (Opening balance)]]+FAR[[#This Row],[Depreciation YTD]]+FAR[[#This Row],[Derecognitions (acc dep) '[+']]]</f>
        <v>-4874.0392694063921</v>
      </c>
      <c r="BN524" s="13"/>
      <c r="BO524" s="13"/>
      <c r="BP524" s="13"/>
      <c r="BQ524" s="13"/>
      <c r="BR52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24" s="13">
        <f>FAR[[#This Row],[Cost Price (closing balance)]]+FAR[[#This Row],[Accumulated depreciation (Closing balance)]]+FAR[[#This Row],[Accumulated impairments (Closing balance)]]</f>
        <v>21416.960730593608</v>
      </c>
      <c r="BT524" s="13">
        <f>FAR[[#This Row],[Accumulated depreciation (Opening balance)]]</f>
        <v>-492.20593607305932</v>
      </c>
      <c r="BU524" s="13"/>
      <c r="BV524" s="13"/>
      <c r="BW524" s="10"/>
      <c r="BX524" s="9"/>
      <c r="BY524" s="10"/>
      <c r="BZ524"/>
      <c r="CA524"/>
      <c r="CB524" s="34"/>
      <c r="CC524" s="34"/>
      <c r="CD524" s="34"/>
      <c r="CE524" s="141">
        <f>FAR[[#This Row],[Additions capitalised (@actual cost)]]/FAR[[#This Row],[EUL]]</f>
        <v>0</v>
      </c>
    </row>
    <row r="525" spans="1:83">
      <c r="A525" s="35" t="s">
        <v>1106</v>
      </c>
      <c r="B525" s="9" t="s">
        <v>875</v>
      </c>
      <c r="C525" s="9" t="s">
        <v>54</v>
      </c>
      <c r="D525" s="10" t="s">
        <v>1</v>
      </c>
      <c r="E525" s="9" t="s">
        <v>115</v>
      </c>
      <c r="F525" s="36" t="s">
        <v>99</v>
      </c>
      <c r="G525" s="9" t="s">
        <v>100</v>
      </c>
      <c r="H525" s="3" t="s">
        <v>103</v>
      </c>
      <c r="I525" s="9" t="s">
        <v>100</v>
      </c>
      <c r="J525" s="36" t="s">
        <v>101</v>
      </c>
      <c r="K525" s="10" t="s">
        <v>559</v>
      </c>
      <c r="L525" s="10" t="s">
        <v>559</v>
      </c>
      <c r="M525" s="9" t="s">
        <v>100</v>
      </c>
      <c r="N525" s="10" t="s">
        <v>1147</v>
      </c>
      <c r="O525" s="9" t="s">
        <v>100</v>
      </c>
      <c r="P525" s="10"/>
      <c r="Q525" s="10" t="s">
        <v>1147</v>
      </c>
      <c r="R525" s="10" t="s">
        <v>119</v>
      </c>
      <c r="S525" s="10" t="s">
        <v>130</v>
      </c>
      <c r="T525" s="10" t="s">
        <v>120</v>
      </c>
      <c r="U525" s="10" t="s">
        <v>101</v>
      </c>
      <c r="V525" s="10" t="s">
        <v>121</v>
      </c>
      <c r="W525" s="10" t="s">
        <v>122</v>
      </c>
      <c r="X525" s="10" t="s">
        <v>123</v>
      </c>
      <c r="Y525" s="29">
        <v>1</v>
      </c>
      <c r="Z525" s="138"/>
      <c r="AA525" s="138"/>
      <c r="AB525" s="9" t="s">
        <v>114</v>
      </c>
      <c r="AC525" s="9" t="s">
        <v>124</v>
      </c>
      <c r="AD525" s="15">
        <v>45747</v>
      </c>
      <c r="AE525" s="39" t="s">
        <v>125</v>
      </c>
      <c r="AF525" s="177">
        <v>6</v>
      </c>
      <c r="AG525" s="140">
        <v>0</v>
      </c>
      <c r="AH525" s="9">
        <v>0</v>
      </c>
      <c r="AI525" s="10" t="s">
        <v>126</v>
      </c>
      <c r="AJ525" s="10">
        <f>FAR[[#This Row],[Reporting date]]-FAR[[#This Row],[Take-On Date '[dd-mm-yy']]]</f>
        <v>45747</v>
      </c>
      <c r="AK525" s="29">
        <f>FAR[[#This Row],[Years utilised in Days ]]/365</f>
        <v>125.33424657534246</v>
      </c>
      <c r="AL525" s="12">
        <v>-119.33424657534246</v>
      </c>
      <c r="AM525" s="10">
        <v>0</v>
      </c>
      <c r="AN525" s="12">
        <f>FAR[[#This Row],[Opening RUL]]+FAR[[#This Row],[RUL Adjustment]]</f>
        <v>-119.33424657534246</v>
      </c>
      <c r="AO525" s="12">
        <f>FAR[[#This Row],[EUL]]-FAR[[#This Row],[Years utilised in Years]]</f>
        <v>-119.33424657534246</v>
      </c>
      <c r="AP525" s="12" t="s">
        <v>1050</v>
      </c>
      <c r="AQ525" s="139"/>
      <c r="AR525" s="10" t="s">
        <v>127</v>
      </c>
      <c r="AS525" s="13"/>
      <c r="AT525" s="226"/>
      <c r="AU525" s="13"/>
      <c r="AV525" s="13"/>
      <c r="AW525" s="13"/>
      <c r="AX525" s="226"/>
      <c r="AY525" s="226">
        <v>0</v>
      </c>
      <c r="AZ525" s="13">
        <v>0</v>
      </c>
      <c r="BA525" s="13"/>
      <c r="BB525" s="13"/>
      <c r="BC525" s="13">
        <v>0</v>
      </c>
      <c r="BD525" s="13"/>
      <c r="BE525" s="13" t="s">
        <v>114</v>
      </c>
      <c r="BF525" s="29"/>
      <c r="BG525" s="13"/>
      <c r="BH525" s="13">
        <f>-FAR[[#This Row],[Carrying value (opening balance)]]/FAR[[#This Row],[Opening RUL 30 June 2026]]</f>
        <v>0</v>
      </c>
      <c r="BI525" s="13">
        <f>FAR[[#This Row],[Depreciation YTD]]/12</f>
        <v>0</v>
      </c>
      <c r="BJ525" s="13"/>
      <c r="BK525" s="13" t="s">
        <v>116</v>
      </c>
      <c r="BL525" s="13">
        <v>0</v>
      </c>
      <c r="BM525" s="13">
        <f>FAR[[#This Row],[Accumulated depreciation (Opening balance)]]+FAR[[#This Row],[Depreciation YTD]]+FAR[[#This Row],[Derecognitions (acc dep) '[+']]]</f>
        <v>0</v>
      </c>
      <c r="BN525" s="13"/>
      <c r="BO525" s="13"/>
      <c r="BP525" s="13"/>
      <c r="BQ525" s="13"/>
      <c r="BR52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25" s="13">
        <f>FAR[[#This Row],[Cost Price (closing balance)]]+FAR[[#This Row],[Accumulated depreciation (Closing balance)]]+FAR[[#This Row],[Accumulated impairments (Closing balance)]]</f>
        <v>0</v>
      </c>
      <c r="BT525" s="13">
        <f>FAR[[#This Row],[Accumulated depreciation (Opening balance)]]</f>
        <v>0</v>
      </c>
      <c r="BU525" s="13"/>
      <c r="BV525" s="13"/>
      <c r="BW525" s="10"/>
      <c r="BX525" s="9"/>
      <c r="BY525" s="10"/>
      <c r="BZ525"/>
      <c r="CA525"/>
      <c r="CB525" s="34"/>
      <c r="CC525" s="34"/>
      <c r="CD525" s="34"/>
      <c r="CE525" s="141">
        <f>FAR[[#This Row],[Additions capitalised (@actual cost)]]/FAR[[#This Row],[EUL]]</f>
        <v>0</v>
      </c>
    </row>
    <row r="526" spans="1:83">
      <c r="A526" s="35" t="s">
        <v>1107</v>
      </c>
      <c r="B526" s="9" t="s">
        <v>918</v>
      </c>
      <c r="C526" s="9" t="s">
        <v>54</v>
      </c>
      <c r="D526" s="10" t="s">
        <v>1</v>
      </c>
      <c r="E526" s="9" t="s">
        <v>115</v>
      </c>
      <c r="F526" s="36" t="s">
        <v>99</v>
      </c>
      <c r="G526" s="9" t="s">
        <v>100</v>
      </c>
      <c r="H526" s="3" t="s">
        <v>103</v>
      </c>
      <c r="I526" s="9" t="s">
        <v>100</v>
      </c>
      <c r="J526" s="36" t="s">
        <v>101</v>
      </c>
      <c r="K526" s="10" t="s">
        <v>559</v>
      </c>
      <c r="L526" s="10" t="s">
        <v>559</v>
      </c>
      <c r="M526" s="9" t="s">
        <v>100</v>
      </c>
      <c r="N526" s="10" t="s">
        <v>1146</v>
      </c>
      <c r="O526" s="9" t="s">
        <v>100</v>
      </c>
      <c r="P526" s="10"/>
      <c r="Q526" s="10" t="s">
        <v>1146</v>
      </c>
      <c r="R526" s="10" t="s">
        <v>119</v>
      </c>
      <c r="S526" s="10" t="s">
        <v>130</v>
      </c>
      <c r="T526" s="10" t="s">
        <v>120</v>
      </c>
      <c r="U526" s="10" t="s">
        <v>101</v>
      </c>
      <c r="V526" s="10" t="s">
        <v>121</v>
      </c>
      <c r="W526" s="10" t="s">
        <v>122</v>
      </c>
      <c r="X526" s="10" t="s">
        <v>123</v>
      </c>
      <c r="Y526" s="29">
        <v>1</v>
      </c>
      <c r="Z526" s="138" t="s">
        <v>1150</v>
      </c>
      <c r="AA526" s="138">
        <v>45706</v>
      </c>
      <c r="AB526" s="9" t="s">
        <v>114</v>
      </c>
      <c r="AC526" s="9" t="s">
        <v>124</v>
      </c>
      <c r="AD526" s="15">
        <v>45747</v>
      </c>
      <c r="AE526" s="39" t="s">
        <v>125</v>
      </c>
      <c r="AF526" s="177">
        <v>6</v>
      </c>
      <c r="AG526" s="140">
        <v>0</v>
      </c>
      <c r="AH526" s="9">
        <v>0</v>
      </c>
      <c r="AI526" s="10" t="s">
        <v>126</v>
      </c>
      <c r="AJ526" s="10">
        <f>FAR[[#This Row],[Reporting date]]-FAR[[#This Row],[Take-On Date '[dd-mm-yy']]]</f>
        <v>41</v>
      </c>
      <c r="AK526" s="29">
        <f>FAR[[#This Row],[Years utilised in Days ]]/365</f>
        <v>0.11232876712328767</v>
      </c>
      <c r="AL526" s="12">
        <v>5.8876712328767127</v>
      </c>
      <c r="AM526" s="10">
        <v>0</v>
      </c>
      <c r="AN526" s="12">
        <f>FAR[[#This Row],[Opening RUL]]+FAR[[#This Row],[RUL Adjustment]]</f>
        <v>5.8876712328767127</v>
      </c>
      <c r="AO526" s="12">
        <f>FAR[[#This Row],[EUL]]-FAR[[#This Row],[Years utilised in Years]]</f>
        <v>5.8876712328767127</v>
      </c>
      <c r="AP526" s="12" t="s">
        <v>1054</v>
      </c>
      <c r="AQ526" s="139"/>
      <c r="AR526" s="10" t="s">
        <v>127</v>
      </c>
      <c r="AS526" s="13">
        <v>26291</v>
      </c>
      <c r="AT526" s="13"/>
      <c r="AU526" s="13"/>
      <c r="AV526" s="13"/>
      <c r="AW526" s="13"/>
      <c r="AX526" s="13">
        <v>26291</v>
      </c>
      <c r="AY526" s="226">
        <v>25798.79406392694</v>
      </c>
      <c r="AZ526" s="13">
        <v>0</v>
      </c>
      <c r="BA526" s="13"/>
      <c r="BB526" s="13"/>
      <c r="BC526" s="13">
        <v>-492.20593607305932</v>
      </c>
      <c r="BD526" s="13"/>
      <c r="BE526" s="13" t="s">
        <v>114</v>
      </c>
      <c r="BF526" s="29"/>
      <c r="BG526" s="13"/>
      <c r="BH526" s="13">
        <f>-FAR[[#This Row],[Carrying value (opening balance)]]/FAR[[#This Row],[Opening RUL 30 June 2026]]</f>
        <v>-4381.833333333333</v>
      </c>
      <c r="BI526" s="13">
        <f>FAR[[#This Row],[Depreciation YTD]]/12</f>
        <v>-365.15277777777777</v>
      </c>
      <c r="BJ526" s="13"/>
      <c r="BK526" s="13" t="s">
        <v>116</v>
      </c>
      <c r="BL526" s="13">
        <v>0</v>
      </c>
      <c r="BM526" s="13">
        <f>FAR[[#This Row],[Accumulated depreciation (Opening balance)]]+FAR[[#This Row],[Depreciation YTD]]+FAR[[#This Row],[Derecognitions (acc dep) '[+']]]</f>
        <v>-4874.0392694063921</v>
      </c>
      <c r="BN526" s="13"/>
      <c r="BO526" s="13"/>
      <c r="BP526" s="13"/>
      <c r="BQ526" s="13"/>
      <c r="BR52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26" s="13">
        <f>FAR[[#This Row],[Cost Price (closing balance)]]+FAR[[#This Row],[Accumulated depreciation (Closing balance)]]+FAR[[#This Row],[Accumulated impairments (Closing balance)]]</f>
        <v>21416.960730593608</v>
      </c>
      <c r="BT526" s="13">
        <f>FAR[[#This Row],[Accumulated depreciation (Opening balance)]]</f>
        <v>-492.20593607305932</v>
      </c>
      <c r="BU526" s="13"/>
      <c r="BV526" s="13"/>
      <c r="BW526" s="10"/>
      <c r="BX526" s="9"/>
      <c r="BY526" s="10"/>
      <c r="BZ526"/>
      <c r="CA526"/>
      <c r="CB526" s="34"/>
      <c r="CC526" s="34"/>
      <c r="CD526" s="34"/>
      <c r="CE526" s="141">
        <f>FAR[[#This Row],[Additions capitalised (@actual cost)]]/FAR[[#This Row],[EUL]]</f>
        <v>0</v>
      </c>
    </row>
    <row r="527" spans="1:83">
      <c r="A527" s="35" t="s">
        <v>1108</v>
      </c>
      <c r="B527" s="9" t="s">
        <v>918</v>
      </c>
      <c r="C527" s="9" t="s">
        <v>54</v>
      </c>
      <c r="D527" s="10" t="s">
        <v>1</v>
      </c>
      <c r="E527" s="9" t="s">
        <v>115</v>
      </c>
      <c r="F527" s="36" t="s">
        <v>99</v>
      </c>
      <c r="G527" s="9" t="s">
        <v>100</v>
      </c>
      <c r="H527" s="3" t="s">
        <v>103</v>
      </c>
      <c r="I527" s="9" t="s">
        <v>100</v>
      </c>
      <c r="J527" s="36" t="s">
        <v>101</v>
      </c>
      <c r="K527" s="10" t="s">
        <v>559</v>
      </c>
      <c r="L527" s="10" t="s">
        <v>559</v>
      </c>
      <c r="M527" s="9" t="s">
        <v>100</v>
      </c>
      <c r="N527" s="10" t="s">
        <v>1146</v>
      </c>
      <c r="O527" s="9" t="s">
        <v>100</v>
      </c>
      <c r="P527" s="10"/>
      <c r="Q527" s="10" t="s">
        <v>1146</v>
      </c>
      <c r="R527" s="10" t="s">
        <v>119</v>
      </c>
      <c r="S527" s="10" t="s">
        <v>130</v>
      </c>
      <c r="T527" s="10" t="s">
        <v>120</v>
      </c>
      <c r="U527" s="10" t="s">
        <v>101</v>
      </c>
      <c r="V527" s="10" t="s">
        <v>121</v>
      </c>
      <c r="W527" s="10" t="s">
        <v>122</v>
      </c>
      <c r="X527" s="10" t="s">
        <v>123</v>
      </c>
      <c r="Y527" s="29">
        <v>1</v>
      </c>
      <c r="Z527" s="138" t="s">
        <v>1150</v>
      </c>
      <c r="AA527" s="138">
        <v>45706</v>
      </c>
      <c r="AB527" s="9" t="s">
        <v>114</v>
      </c>
      <c r="AC527" s="9" t="s">
        <v>124</v>
      </c>
      <c r="AD527" s="15">
        <v>45747</v>
      </c>
      <c r="AE527" s="39" t="s">
        <v>125</v>
      </c>
      <c r="AF527" s="177">
        <v>6</v>
      </c>
      <c r="AG527" s="140">
        <v>0</v>
      </c>
      <c r="AH527" s="9">
        <v>0</v>
      </c>
      <c r="AI527" s="10" t="s">
        <v>126</v>
      </c>
      <c r="AJ527" s="10">
        <f>FAR[[#This Row],[Reporting date]]-FAR[[#This Row],[Take-On Date '[dd-mm-yy']]]</f>
        <v>41</v>
      </c>
      <c r="AK527" s="29">
        <f>FAR[[#This Row],[Years utilised in Days ]]/365</f>
        <v>0.11232876712328767</v>
      </c>
      <c r="AL527" s="12">
        <v>5.8876712328767127</v>
      </c>
      <c r="AM527" s="10">
        <v>0</v>
      </c>
      <c r="AN527" s="12">
        <f>FAR[[#This Row],[Opening RUL]]+FAR[[#This Row],[RUL Adjustment]]</f>
        <v>5.8876712328767127</v>
      </c>
      <c r="AO527" s="12">
        <f>FAR[[#This Row],[EUL]]-FAR[[#This Row],[Years utilised in Years]]</f>
        <v>5.8876712328767127</v>
      </c>
      <c r="AP527" s="12" t="s">
        <v>1054</v>
      </c>
      <c r="AQ527" s="139"/>
      <c r="AR527" s="10" t="s">
        <v>127</v>
      </c>
      <c r="AS527" s="13">
        <v>26291</v>
      </c>
      <c r="AT527" s="13"/>
      <c r="AU527" s="13"/>
      <c r="AV527" s="13"/>
      <c r="AW527" s="13"/>
      <c r="AX527" s="13">
        <v>26291</v>
      </c>
      <c r="AY527" s="226">
        <v>25798.79406392694</v>
      </c>
      <c r="AZ527" s="13">
        <v>0</v>
      </c>
      <c r="BA527" s="13"/>
      <c r="BB527" s="13"/>
      <c r="BC527" s="13">
        <v>-492.20593607305932</v>
      </c>
      <c r="BD527" s="13"/>
      <c r="BE527" s="13" t="s">
        <v>114</v>
      </c>
      <c r="BF527" s="29"/>
      <c r="BG527" s="13"/>
      <c r="BH527" s="13">
        <f>-FAR[[#This Row],[Carrying value (opening balance)]]/FAR[[#This Row],[Opening RUL 30 June 2026]]</f>
        <v>-4381.833333333333</v>
      </c>
      <c r="BI527" s="13">
        <f>FAR[[#This Row],[Depreciation YTD]]/12</f>
        <v>-365.15277777777777</v>
      </c>
      <c r="BJ527" s="13"/>
      <c r="BK527" s="13" t="s">
        <v>116</v>
      </c>
      <c r="BL527" s="13">
        <v>0</v>
      </c>
      <c r="BM527" s="13">
        <f>FAR[[#This Row],[Accumulated depreciation (Opening balance)]]+FAR[[#This Row],[Depreciation YTD]]+FAR[[#This Row],[Derecognitions (acc dep) '[+']]]</f>
        <v>-4874.0392694063921</v>
      </c>
      <c r="BN527" s="13"/>
      <c r="BO527" s="13"/>
      <c r="BP527" s="13"/>
      <c r="BQ527" s="13"/>
      <c r="BR52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27" s="13">
        <f>FAR[[#This Row],[Cost Price (closing balance)]]+FAR[[#This Row],[Accumulated depreciation (Closing balance)]]+FAR[[#This Row],[Accumulated impairments (Closing balance)]]</f>
        <v>21416.960730593608</v>
      </c>
      <c r="BT527" s="13">
        <f>FAR[[#This Row],[Accumulated depreciation (Opening balance)]]</f>
        <v>-492.20593607305932</v>
      </c>
      <c r="BU527" s="13"/>
      <c r="BV527" s="13"/>
      <c r="BW527" s="10"/>
      <c r="BX527" s="9"/>
      <c r="BY527" s="10"/>
      <c r="BZ527"/>
      <c r="CA527"/>
      <c r="CB527" s="34"/>
      <c r="CC527" s="34"/>
      <c r="CD527" s="34"/>
      <c r="CE527" s="141">
        <f>FAR[[#This Row],[Additions capitalised (@actual cost)]]/FAR[[#This Row],[EUL]]</f>
        <v>0</v>
      </c>
    </row>
    <row r="528" spans="1:83">
      <c r="A528" s="35" t="s">
        <v>1109</v>
      </c>
      <c r="B528" s="9" t="s">
        <v>918</v>
      </c>
      <c r="C528" s="9" t="s">
        <v>54</v>
      </c>
      <c r="D528" s="10" t="s">
        <v>1</v>
      </c>
      <c r="E528" s="9" t="s">
        <v>115</v>
      </c>
      <c r="F528" s="36" t="s">
        <v>99</v>
      </c>
      <c r="G528" s="9" t="s">
        <v>100</v>
      </c>
      <c r="H528" s="3" t="s">
        <v>103</v>
      </c>
      <c r="I528" s="9" t="s">
        <v>100</v>
      </c>
      <c r="J528" s="36" t="s">
        <v>101</v>
      </c>
      <c r="K528" s="10" t="s">
        <v>559</v>
      </c>
      <c r="L528" s="10" t="s">
        <v>559</v>
      </c>
      <c r="M528" s="9" t="s">
        <v>100</v>
      </c>
      <c r="N528" s="10" t="s">
        <v>1146</v>
      </c>
      <c r="O528" s="9" t="s">
        <v>100</v>
      </c>
      <c r="P528" s="10"/>
      <c r="Q528" s="10" t="s">
        <v>1146</v>
      </c>
      <c r="R528" s="10" t="s">
        <v>119</v>
      </c>
      <c r="S528" s="10" t="s">
        <v>130</v>
      </c>
      <c r="T528" s="10" t="s">
        <v>120</v>
      </c>
      <c r="U528" s="10" t="s">
        <v>101</v>
      </c>
      <c r="V528" s="10" t="s">
        <v>121</v>
      </c>
      <c r="W528" s="10" t="s">
        <v>122</v>
      </c>
      <c r="X528" s="10" t="s">
        <v>123</v>
      </c>
      <c r="Y528" s="29">
        <v>1</v>
      </c>
      <c r="Z528" s="138" t="s">
        <v>1150</v>
      </c>
      <c r="AA528" s="138">
        <v>45706</v>
      </c>
      <c r="AB528" s="9" t="s">
        <v>114</v>
      </c>
      <c r="AC528" s="9" t="s">
        <v>124</v>
      </c>
      <c r="AD528" s="15">
        <v>45747</v>
      </c>
      <c r="AE528" s="39" t="s">
        <v>125</v>
      </c>
      <c r="AF528" s="177">
        <v>6</v>
      </c>
      <c r="AG528" s="140">
        <v>0</v>
      </c>
      <c r="AH528" s="9">
        <v>0</v>
      </c>
      <c r="AI528" s="10" t="s">
        <v>126</v>
      </c>
      <c r="AJ528" s="10">
        <f>FAR[[#This Row],[Reporting date]]-FAR[[#This Row],[Take-On Date '[dd-mm-yy']]]</f>
        <v>41</v>
      </c>
      <c r="AK528" s="29">
        <f>FAR[[#This Row],[Years utilised in Days ]]/365</f>
        <v>0.11232876712328767</v>
      </c>
      <c r="AL528" s="12">
        <v>5.8876712328767127</v>
      </c>
      <c r="AM528" s="10">
        <v>0</v>
      </c>
      <c r="AN528" s="12">
        <f>FAR[[#This Row],[Opening RUL]]+FAR[[#This Row],[RUL Adjustment]]</f>
        <v>5.8876712328767127</v>
      </c>
      <c r="AO528" s="12">
        <f>FAR[[#This Row],[EUL]]-FAR[[#This Row],[Years utilised in Years]]</f>
        <v>5.8876712328767127</v>
      </c>
      <c r="AP528" s="12" t="s">
        <v>1054</v>
      </c>
      <c r="AQ528" s="139"/>
      <c r="AR528" s="10" t="s">
        <v>127</v>
      </c>
      <c r="AS528" s="13">
        <v>26291</v>
      </c>
      <c r="AT528" s="13"/>
      <c r="AU528" s="13"/>
      <c r="AV528" s="13"/>
      <c r="AW528" s="13"/>
      <c r="AX528" s="13">
        <v>26291</v>
      </c>
      <c r="AY528" s="226">
        <v>25798.79406392694</v>
      </c>
      <c r="AZ528" s="13">
        <v>0</v>
      </c>
      <c r="BA528" s="13"/>
      <c r="BB528" s="13"/>
      <c r="BC528" s="13">
        <v>-492.20593607305932</v>
      </c>
      <c r="BD528" s="13"/>
      <c r="BE528" s="13" t="s">
        <v>114</v>
      </c>
      <c r="BF528" s="29"/>
      <c r="BG528" s="13"/>
      <c r="BH528" s="13">
        <f>-FAR[[#This Row],[Carrying value (opening balance)]]/FAR[[#This Row],[Opening RUL 30 June 2026]]</f>
        <v>-4381.833333333333</v>
      </c>
      <c r="BI528" s="13">
        <f>FAR[[#This Row],[Depreciation YTD]]/12</f>
        <v>-365.15277777777777</v>
      </c>
      <c r="BJ528" s="13"/>
      <c r="BK528" s="13" t="s">
        <v>116</v>
      </c>
      <c r="BL528" s="13">
        <v>0</v>
      </c>
      <c r="BM528" s="13">
        <f>FAR[[#This Row],[Accumulated depreciation (Opening balance)]]+FAR[[#This Row],[Depreciation YTD]]+FAR[[#This Row],[Derecognitions (acc dep) '[+']]]</f>
        <v>-4874.0392694063921</v>
      </c>
      <c r="BN528" s="13"/>
      <c r="BO528" s="13"/>
      <c r="BP528" s="13"/>
      <c r="BQ528" s="13"/>
      <c r="BR52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28" s="13">
        <f>FAR[[#This Row],[Cost Price (closing balance)]]+FAR[[#This Row],[Accumulated depreciation (Closing balance)]]+FAR[[#This Row],[Accumulated impairments (Closing balance)]]</f>
        <v>21416.960730593608</v>
      </c>
      <c r="BT528" s="13">
        <f>FAR[[#This Row],[Accumulated depreciation (Opening balance)]]</f>
        <v>-492.20593607305932</v>
      </c>
      <c r="BU528" s="13"/>
      <c r="BV528" s="13"/>
      <c r="BW528" s="10"/>
      <c r="BX528" s="9"/>
      <c r="BY528" s="10"/>
      <c r="BZ528"/>
      <c r="CA528"/>
      <c r="CB528" s="34"/>
      <c r="CC528" s="34"/>
      <c r="CD528" s="34"/>
      <c r="CE528" s="141">
        <f>FAR[[#This Row],[Additions capitalised (@actual cost)]]/FAR[[#This Row],[EUL]]</f>
        <v>0</v>
      </c>
    </row>
    <row r="529" spans="1:83">
      <c r="A529" s="35" t="s">
        <v>1110</v>
      </c>
      <c r="B529" s="9" t="s">
        <v>918</v>
      </c>
      <c r="C529" s="9" t="s">
        <v>54</v>
      </c>
      <c r="D529" s="10" t="s">
        <v>1</v>
      </c>
      <c r="E529" s="9" t="s">
        <v>115</v>
      </c>
      <c r="F529" s="36" t="s">
        <v>99</v>
      </c>
      <c r="G529" s="9" t="s">
        <v>100</v>
      </c>
      <c r="H529" s="3" t="s">
        <v>103</v>
      </c>
      <c r="I529" s="9" t="s">
        <v>100</v>
      </c>
      <c r="J529" s="36" t="s">
        <v>101</v>
      </c>
      <c r="K529" s="10" t="s">
        <v>559</v>
      </c>
      <c r="L529" s="10" t="s">
        <v>559</v>
      </c>
      <c r="M529" s="9" t="s">
        <v>100</v>
      </c>
      <c r="N529" s="10" t="s">
        <v>1146</v>
      </c>
      <c r="O529" s="9" t="s">
        <v>100</v>
      </c>
      <c r="P529" s="10"/>
      <c r="Q529" s="10" t="s">
        <v>1146</v>
      </c>
      <c r="R529" s="10" t="s">
        <v>119</v>
      </c>
      <c r="S529" s="10" t="s">
        <v>130</v>
      </c>
      <c r="T529" s="10" t="s">
        <v>120</v>
      </c>
      <c r="U529" s="10" t="s">
        <v>101</v>
      </c>
      <c r="V529" s="10" t="s">
        <v>121</v>
      </c>
      <c r="W529" s="10" t="s">
        <v>122</v>
      </c>
      <c r="X529" s="10" t="s">
        <v>123</v>
      </c>
      <c r="Y529" s="29">
        <v>1</v>
      </c>
      <c r="Z529" s="138" t="s">
        <v>1150</v>
      </c>
      <c r="AA529" s="138">
        <v>45706</v>
      </c>
      <c r="AB529" s="9" t="s">
        <v>114</v>
      </c>
      <c r="AC529" s="9" t="s">
        <v>124</v>
      </c>
      <c r="AD529" s="15">
        <v>45747</v>
      </c>
      <c r="AE529" s="39" t="s">
        <v>125</v>
      </c>
      <c r="AF529" s="177">
        <v>6</v>
      </c>
      <c r="AG529" s="140">
        <v>0</v>
      </c>
      <c r="AH529" s="9">
        <v>0</v>
      </c>
      <c r="AI529" s="10" t="s">
        <v>126</v>
      </c>
      <c r="AJ529" s="10">
        <f>FAR[[#This Row],[Reporting date]]-FAR[[#This Row],[Take-On Date '[dd-mm-yy']]]</f>
        <v>41</v>
      </c>
      <c r="AK529" s="29">
        <f>FAR[[#This Row],[Years utilised in Days ]]/365</f>
        <v>0.11232876712328767</v>
      </c>
      <c r="AL529" s="12">
        <v>5.8876712328767127</v>
      </c>
      <c r="AM529" s="10">
        <v>0</v>
      </c>
      <c r="AN529" s="12">
        <f>FAR[[#This Row],[Opening RUL]]+FAR[[#This Row],[RUL Adjustment]]</f>
        <v>5.8876712328767127</v>
      </c>
      <c r="AO529" s="12">
        <f>FAR[[#This Row],[EUL]]-FAR[[#This Row],[Years utilised in Years]]</f>
        <v>5.8876712328767127</v>
      </c>
      <c r="AP529" s="12" t="s">
        <v>1054</v>
      </c>
      <c r="AQ529" s="139"/>
      <c r="AR529" s="10" t="s">
        <v>127</v>
      </c>
      <c r="AS529" s="13">
        <v>26291</v>
      </c>
      <c r="AT529" s="13"/>
      <c r="AU529" s="13"/>
      <c r="AV529" s="13"/>
      <c r="AW529" s="13"/>
      <c r="AX529" s="13">
        <v>26291</v>
      </c>
      <c r="AY529" s="226">
        <v>25798.79406392694</v>
      </c>
      <c r="AZ529" s="13">
        <v>0</v>
      </c>
      <c r="BA529" s="13"/>
      <c r="BB529" s="13"/>
      <c r="BC529" s="13">
        <v>-492.20593607305932</v>
      </c>
      <c r="BD529" s="13"/>
      <c r="BE529" s="13" t="s">
        <v>114</v>
      </c>
      <c r="BF529" s="29"/>
      <c r="BG529" s="13"/>
      <c r="BH529" s="13">
        <f>-FAR[[#This Row],[Carrying value (opening balance)]]/FAR[[#This Row],[Opening RUL 30 June 2026]]</f>
        <v>-4381.833333333333</v>
      </c>
      <c r="BI529" s="13">
        <f>FAR[[#This Row],[Depreciation YTD]]/12</f>
        <v>-365.15277777777777</v>
      </c>
      <c r="BJ529" s="13"/>
      <c r="BK529" s="13" t="s">
        <v>116</v>
      </c>
      <c r="BL529" s="13">
        <v>0</v>
      </c>
      <c r="BM529" s="13">
        <f>FAR[[#This Row],[Accumulated depreciation (Opening balance)]]+FAR[[#This Row],[Depreciation YTD]]+FAR[[#This Row],[Derecognitions (acc dep) '[+']]]</f>
        <v>-4874.0392694063921</v>
      </c>
      <c r="BN529" s="13"/>
      <c r="BO529" s="13"/>
      <c r="BP529" s="13"/>
      <c r="BQ529" s="13"/>
      <c r="BR52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29" s="13">
        <f>FAR[[#This Row],[Cost Price (closing balance)]]+FAR[[#This Row],[Accumulated depreciation (Closing balance)]]+FAR[[#This Row],[Accumulated impairments (Closing balance)]]</f>
        <v>21416.960730593608</v>
      </c>
      <c r="BT529" s="13">
        <f>FAR[[#This Row],[Accumulated depreciation (Opening balance)]]</f>
        <v>-492.20593607305932</v>
      </c>
      <c r="BU529" s="13"/>
      <c r="BV529" s="13"/>
      <c r="BW529" s="10"/>
      <c r="BX529" s="9"/>
      <c r="BY529" s="10"/>
      <c r="BZ529"/>
      <c r="CA529" t="s">
        <v>1137</v>
      </c>
      <c r="CB529" s="34"/>
      <c r="CC529" s="34"/>
      <c r="CD529" s="34"/>
      <c r="CE529" s="141">
        <f>FAR[[#This Row],[Additions capitalised (@actual cost)]]/FAR[[#This Row],[EUL]]</f>
        <v>0</v>
      </c>
    </row>
    <row r="530" spans="1:83">
      <c r="A530" s="35" t="s">
        <v>1111</v>
      </c>
      <c r="B530" s="9" t="s">
        <v>918</v>
      </c>
      <c r="C530" s="9" t="s">
        <v>54</v>
      </c>
      <c r="D530" s="10" t="s">
        <v>1</v>
      </c>
      <c r="E530" s="9" t="s">
        <v>115</v>
      </c>
      <c r="F530" s="36" t="s">
        <v>99</v>
      </c>
      <c r="G530" s="9" t="s">
        <v>100</v>
      </c>
      <c r="H530" s="3" t="s">
        <v>103</v>
      </c>
      <c r="I530" s="9" t="s">
        <v>100</v>
      </c>
      <c r="J530" s="36" t="s">
        <v>101</v>
      </c>
      <c r="K530" s="10" t="s">
        <v>559</v>
      </c>
      <c r="L530" s="10" t="s">
        <v>559</v>
      </c>
      <c r="M530" s="9" t="s">
        <v>100</v>
      </c>
      <c r="N530" s="10" t="s">
        <v>1146</v>
      </c>
      <c r="O530" s="9" t="s">
        <v>100</v>
      </c>
      <c r="P530" s="10"/>
      <c r="Q530" s="10" t="s">
        <v>1146</v>
      </c>
      <c r="R530" s="10" t="s">
        <v>119</v>
      </c>
      <c r="S530" s="10" t="s">
        <v>130</v>
      </c>
      <c r="T530" s="10" t="s">
        <v>120</v>
      </c>
      <c r="U530" s="10" t="s">
        <v>101</v>
      </c>
      <c r="V530" s="10" t="s">
        <v>121</v>
      </c>
      <c r="W530" s="10" t="s">
        <v>122</v>
      </c>
      <c r="X530" s="10" t="s">
        <v>123</v>
      </c>
      <c r="Y530" s="29">
        <v>1</v>
      </c>
      <c r="Z530" s="138" t="s">
        <v>1150</v>
      </c>
      <c r="AA530" s="138">
        <v>45706</v>
      </c>
      <c r="AB530" s="9" t="s">
        <v>114</v>
      </c>
      <c r="AC530" s="9" t="s">
        <v>124</v>
      </c>
      <c r="AD530" s="15">
        <v>45747</v>
      </c>
      <c r="AE530" s="39" t="s">
        <v>125</v>
      </c>
      <c r="AF530" s="177">
        <v>6</v>
      </c>
      <c r="AG530" s="140">
        <v>0</v>
      </c>
      <c r="AH530" s="9">
        <v>0</v>
      </c>
      <c r="AI530" s="10" t="s">
        <v>126</v>
      </c>
      <c r="AJ530" s="10">
        <f>FAR[[#This Row],[Reporting date]]-FAR[[#This Row],[Take-On Date '[dd-mm-yy']]]</f>
        <v>41</v>
      </c>
      <c r="AK530" s="29">
        <f>FAR[[#This Row],[Years utilised in Days ]]/365</f>
        <v>0.11232876712328767</v>
      </c>
      <c r="AL530" s="12">
        <v>5.8876712328767127</v>
      </c>
      <c r="AM530" s="10">
        <v>0</v>
      </c>
      <c r="AN530" s="12">
        <f>FAR[[#This Row],[Opening RUL]]+FAR[[#This Row],[RUL Adjustment]]</f>
        <v>5.8876712328767127</v>
      </c>
      <c r="AO530" s="12">
        <f>FAR[[#This Row],[EUL]]-FAR[[#This Row],[Years utilised in Years]]</f>
        <v>5.8876712328767127</v>
      </c>
      <c r="AP530" s="12" t="s">
        <v>1054</v>
      </c>
      <c r="AQ530" s="139"/>
      <c r="AR530" s="10" t="s">
        <v>127</v>
      </c>
      <c r="AS530" s="13">
        <v>26291</v>
      </c>
      <c r="AT530" s="13"/>
      <c r="AU530" s="13"/>
      <c r="AV530" s="13"/>
      <c r="AW530" s="13"/>
      <c r="AX530" s="13">
        <v>26291</v>
      </c>
      <c r="AY530" s="226">
        <v>25798.79406392694</v>
      </c>
      <c r="AZ530" s="13">
        <v>0</v>
      </c>
      <c r="BA530" s="13"/>
      <c r="BB530" s="13"/>
      <c r="BC530" s="13">
        <v>-492.20593607305932</v>
      </c>
      <c r="BD530" s="13"/>
      <c r="BE530" s="13" t="s">
        <v>114</v>
      </c>
      <c r="BF530" s="29"/>
      <c r="BG530" s="13"/>
      <c r="BH530" s="13">
        <f>-FAR[[#This Row],[Carrying value (opening balance)]]/FAR[[#This Row],[Opening RUL 30 June 2026]]</f>
        <v>-4381.833333333333</v>
      </c>
      <c r="BI530" s="13">
        <f>FAR[[#This Row],[Depreciation YTD]]/12</f>
        <v>-365.15277777777777</v>
      </c>
      <c r="BJ530" s="13"/>
      <c r="BK530" s="13" t="s">
        <v>116</v>
      </c>
      <c r="BL530" s="13">
        <v>0</v>
      </c>
      <c r="BM530" s="13">
        <f>FAR[[#This Row],[Accumulated depreciation (Opening balance)]]+FAR[[#This Row],[Depreciation YTD]]+FAR[[#This Row],[Derecognitions (acc dep) '[+']]]</f>
        <v>-4874.0392694063921</v>
      </c>
      <c r="BN530" s="13"/>
      <c r="BO530" s="13"/>
      <c r="BP530" s="13"/>
      <c r="BQ530" s="13"/>
      <c r="BR53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30" s="13">
        <f>FAR[[#This Row],[Cost Price (closing balance)]]+FAR[[#This Row],[Accumulated depreciation (Closing balance)]]+FAR[[#This Row],[Accumulated impairments (Closing balance)]]</f>
        <v>21416.960730593608</v>
      </c>
      <c r="BT530" s="13">
        <f>FAR[[#This Row],[Accumulated depreciation (Opening balance)]]</f>
        <v>-492.20593607305932</v>
      </c>
      <c r="BU530" s="13"/>
      <c r="BV530" s="13"/>
      <c r="BW530" s="10"/>
      <c r="BX530" s="9"/>
      <c r="BY530" s="10"/>
      <c r="BZ530"/>
      <c r="CA530" t="s">
        <v>1138</v>
      </c>
      <c r="CB530" s="34"/>
      <c r="CC530" s="34"/>
      <c r="CD530" s="34"/>
      <c r="CE530" s="141">
        <f>FAR[[#This Row],[Additions capitalised (@actual cost)]]/FAR[[#This Row],[EUL]]</f>
        <v>0</v>
      </c>
    </row>
    <row r="531" spans="1:83">
      <c r="A531" s="35" t="s">
        <v>1112</v>
      </c>
      <c r="B531" s="9" t="s">
        <v>918</v>
      </c>
      <c r="C531" s="9" t="s">
        <v>54</v>
      </c>
      <c r="D531" s="10" t="s">
        <v>1</v>
      </c>
      <c r="E531" s="9" t="s">
        <v>115</v>
      </c>
      <c r="F531" s="36" t="s">
        <v>99</v>
      </c>
      <c r="G531" s="9" t="s">
        <v>100</v>
      </c>
      <c r="H531" s="3" t="s">
        <v>103</v>
      </c>
      <c r="I531" s="9" t="s">
        <v>100</v>
      </c>
      <c r="J531" s="36" t="s">
        <v>101</v>
      </c>
      <c r="K531" s="10" t="s">
        <v>559</v>
      </c>
      <c r="L531" s="10" t="s">
        <v>559</v>
      </c>
      <c r="M531" s="9" t="s">
        <v>100</v>
      </c>
      <c r="N531" s="10" t="s">
        <v>1146</v>
      </c>
      <c r="O531" s="9" t="s">
        <v>100</v>
      </c>
      <c r="P531" s="10"/>
      <c r="Q531" s="10" t="s">
        <v>1146</v>
      </c>
      <c r="R531" s="10" t="s">
        <v>119</v>
      </c>
      <c r="S531" s="10" t="s">
        <v>130</v>
      </c>
      <c r="T531" s="10" t="s">
        <v>120</v>
      </c>
      <c r="U531" s="10" t="s">
        <v>101</v>
      </c>
      <c r="V531" s="10" t="s">
        <v>121</v>
      </c>
      <c r="W531" s="10" t="s">
        <v>122</v>
      </c>
      <c r="X531" s="10" t="s">
        <v>123</v>
      </c>
      <c r="Y531" s="29">
        <v>1</v>
      </c>
      <c r="Z531" s="138" t="s">
        <v>1150</v>
      </c>
      <c r="AA531" s="138">
        <v>45706</v>
      </c>
      <c r="AB531" s="9" t="s">
        <v>114</v>
      </c>
      <c r="AC531" s="9" t="s">
        <v>124</v>
      </c>
      <c r="AD531" s="15">
        <v>45747</v>
      </c>
      <c r="AE531" s="39" t="s">
        <v>125</v>
      </c>
      <c r="AF531" s="177">
        <v>6</v>
      </c>
      <c r="AG531" s="140">
        <v>0</v>
      </c>
      <c r="AH531" s="9">
        <v>0</v>
      </c>
      <c r="AI531" s="10" t="s">
        <v>126</v>
      </c>
      <c r="AJ531" s="10">
        <f>FAR[[#This Row],[Reporting date]]-FAR[[#This Row],[Take-On Date '[dd-mm-yy']]]</f>
        <v>41</v>
      </c>
      <c r="AK531" s="29">
        <f>FAR[[#This Row],[Years utilised in Days ]]/365</f>
        <v>0.11232876712328767</v>
      </c>
      <c r="AL531" s="12">
        <v>5.8876712328767127</v>
      </c>
      <c r="AM531" s="10">
        <v>0</v>
      </c>
      <c r="AN531" s="12">
        <f>FAR[[#This Row],[Opening RUL]]+FAR[[#This Row],[RUL Adjustment]]</f>
        <v>5.8876712328767127</v>
      </c>
      <c r="AO531" s="12">
        <f>FAR[[#This Row],[EUL]]-FAR[[#This Row],[Years utilised in Years]]</f>
        <v>5.8876712328767127</v>
      </c>
      <c r="AP531" s="12" t="s">
        <v>1054</v>
      </c>
      <c r="AQ531" s="139"/>
      <c r="AR531" s="10" t="s">
        <v>127</v>
      </c>
      <c r="AS531" s="13">
        <v>26291</v>
      </c>
      <c r="AT531" s="13"/>
      <c r="AU531" s="13"/>
      <c r="AV531" s="13"/>
      <c r="AW531" s="13"/>
      <c r="AX531" s="13">
        <v>26291</v>
      </c>
      <c r="AY531" s="226">
        <v>25798.79406392694</v>
      </c>
      <c r="AZ531" s="13">
        <v>0</v>
      </c>
      <c r="BA531" s="13"/>
      <c r="BB531" s="13"/>
      <c r="BC531" s="13">
        <v>-492.20593607305932</v>
      </c>
      <c r="BD531" s="13"/>
      <c r="BE531" s="13" t="s">
        <v>114</v>
      </c>
      <c r="BF531" s="29"/>
      <c r="BG531" s="13"/>
      <c r="BH531" s="13">
        <f>-FAR[[#This Row],[Carrying value (opening balance)]]/FAR[[#This Row],[Opening RUL 30 June 2026]]</f>
        <v>-4381.833333333333</v>
      </c>
      <c r="BI531" s="13">
        <f>FAR[[#This Row],[Depreciation YTD]]/12</f>
        <v>-365.15277777777777</v>
      </c>
      <c r="BJ531" s="13"/>
      <c r="BK531" s="13" t="s">
        <v>116</v>
      </c>
      <c r="BL531" s="13">
        <v>0</v>
      </c>
      <c r="BM531" s="13">
        <f>FAR[[#This Row],[Accumulated depreciation (Opening balance)]]+FAR[[#This Row],[Depreciation YTD]]+FAR[[#This Row],[Derecognitions (acc dep) '[+']]]</f>
        <v>-4874.0392694063921</v>
      </c>
      <c r="BN531" s="13"/>
      <c r="BO531" s="13"/>
      <c r="BP531" s="13"/>
      <c r="BQ531" s="13"/>
      <c r="BR531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31" s="13">
        <f>FAR[[#This Row],[Cost Price (closing balance)]]+FAR[[#This Row],[Accumulated depreciation (Closing balance)]]+FAR[[#This Row],[Accumulated impairments (Closing balance)]]</f>
        <v>21416.960730593608</v>
      </c>
      <c r="BT531" s="13">
        <f>FAR[[#This Row],[Accumulated depreciation (Opening balance)]]</f>
        <v>-492.20593607305932</v>
      </c>
      <c r="BU531" s="13"/>
      <c r="BV531" s="13"/>
      <c r="BW531" s="10"/>
      <c r="BX531" s="9"/>
      <c r="BY531" s="10"/>
      <c r="BZ531"/>
      <c r="CA531" t="s">
        <v>1139</v>
      </c>
      <c r="CB531" s="34"/>
      <c r="CC531" s="34"/>
      <c r="CD531" s="34"/>
      <c r="CE531" s="141">
        <f>FAR[[#This Row],[Additions capitalised (@actual cost)]]/FAR[[#This Row],[EUL]]</f>
        <v>0</v>
      </c>
    </row>
    <row r="532" spans="1:83">
      <c r="A532" s="35" t="s">
        <v>1113</v>
      </c>
      <c r="B532" s="9" t="s">
        <v>918</v>
      </c>
      <c r="C532" s="9" t="s">
        <v>54</v>
      </c>
      <c r="D532" s="10" t="s">
        <v>1</v>
      </c>
      <c r="E532" s="9" t="s">
        <v>115</v>
      </c>
      <c r="F532" s="36" t="s">
        <v>99</v>
      </c>
      <c r="G532" s="9" t="s">
        <v>100</v>
      </c>
      <c r="H532" s="3" t="s">
        <v>103</v>
      </c>
      <c r="I532" s="9" t="s">
        <v>100</v>
      </c>
      <c r="J532" s="36" t="s">
        <v>101</v>
      </c>
      <c r="K532" s="10" t="s">
        <v>559</v>
      </c>
      <c r="L532" s="10" t="s">
        <v>559</v>
      </c>
      <c r="M532" s="9" t="s">
        <v>100</v>
      </c>
      <c r="N532" s="10" t="s">
        <v>1146</v>
      </c>
      <c r="O532" s="9" t="s">
        <v>100</v>
      </c>
      <c r="P532" s="10"/>
      <c r="Q532" s="10" t="s">
        <v>1146</v>
      </c>
      <c r="R532" s="10" t="s">
        <v>119</v>
      </c>
      <c r="S532" s="10" t="s">
        <v>130</v>
      </c>
      <c r="T532" s="10" t="s">
        <v>120</v>
      </c>
      <c r="U532" s="10" t="s">
        <v>101</v>
      </c>
      <c r="V532" s="10" t="s">
        <v>121</v>
      </c>
      <c r="W532" s="10" t="s">
        <v>122</v>
      </c>
      <c r="X532" s="10" t="s">
        <v>123</v>
      </c>
      <c r="Y532" s="29">
        <v>1</v>
      </c>
      <c r="Z532" s="138" t="s">
        <v>1150</v>
      </c>
      <c r="AA532" s="138">
        <v>45706</v>
      </c>
      <c r="AB532" s="9" t="s">
        <v>114</v>
      </c>
      <c r="AC532" s="9" t="s">
        <v>124</v>
      </c>
      <c r="AD532" s="15">
        <v>45747</v>
      </c>
      <c r="AE532" s="39" t="s">
        <v>125</v>
      </c>
      <c r="AF532" s="177">
        <v>6</v>
      </c>
      <c r="AG532" s="140">
        <v>0</v>
      </c>
      <c r="AH532" s="9">
        <v>0</v>
      </c>
      <c r="AI532" s="10" t="s">
        <v>126</v>
      </c>
      <c r="AJ532" s="10">
        <f>FAR[[#This Row],[Reporting date]]-FAR[[#This Row],[Take-On Date '[dd-mm-yy']]]</f>
        <v>41</v>
      </c>
      <c r="AK532" s="29">
        <f>FAR[[#This Row],[Years utilised in Days ]]/365</f>
        <v>0.11232876712328767</v>
      </c>
      <c r="AL532" s="12">
        <v>5.8876712328767127</v>
      </c>
      <c r="AM532" s="10">
        <v>0</v>
      </c>
      <c r="AN532" s="12">
        <f>FAR[[#This Row],[Opening RUL]]+FAR[[#This Row],[RUL Adjustment]]</f>
        <v>5.8876712328767127</v>
      </c>
      <c r="AO532" s="12">
        <f>FAR[[#This Row],[EUL]]-FAR[[#This Row],[Years utilised in Years]]</f>
        <v>5.8876712328767127</v>
      </c>
      <c r="AP532" s="12" t="s">
        <v>1054</v>
      </c>
      <c r="AQ532" s="139"/>
      <c r="AR532" s="10" t="s">
        <v>127</v>
      </c>
      <c r="AS532" s="13">
        <v>26291</v>
      </c>
      <c r="AT532" s="13"/>
      <c r="AU532" s="13"/>
      <c r="AV532" s="13"/>
      <c r="AW532" s="13"/>
      <c r="AX532" s="13">
        <v>26291</v>
      </c>
      <c r="AY532" s="226">
        <v>25798.79406392694</v>
      </c>
      <c r="AZ532" s="13">
        <v>0</v>
      </c>
      <c r="BA532" s="13"/>
      <c r="BB532" s="13"/>
      <c r="BC532" s="13">
        <v>-492.20593607305932</v>
      </c>
      <c r="BD532" s="13"/>
      <c r="BE532" s="13" t="s">
        <v>114</v>
      </c>
      <c r="BF532" s="29"/>
      <c r="BG532" s="13"/>
      <c r="BH532" s="13">
        <f>-FAR[[#This Row],[Carrying value (opening balance)]]/FAR[[#This Row],[Opening RUL 30 June 2026]]</f>
        <v>-4381.833333333333</v>
      </c>
      <c r="BI532" s="13">
        <f>FAR[[#This Row],[Depreciation YTD]]/12</f>
        <v>-365.15277777777777</v>
      </c>
      <c r="BJ532" s="13"/>
      <c r="BK532" s="13" t="s">
        <v>116</v>
      </c>
      <c r="BL532" s="13">
        <v>0</v>
      </c>
      <c r="BM532" s="13">
        <f>FAR[[#This Row],[Accumulated depreciation (Opening balance)]]+FAR[[#This Row],[Depreciation YTD]]+FAR[[#This Row],[Derecognitions (acc dep) '[+']]]</f>
        <v>-4874.0392694063921</v>
      </c>
      <c r="BN532" s="13"/>
      <c r="BO532" s="13"/>
      <c r="BP532" s="13"/>
      <c r="BQ532" s="13"/>
      <c r="BR53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32" s="13">
        <f>FAR[[#This Row],[Cost Price (closing balance)]]+FAR[[#This Row],[Accumulated depreciation (Closing balance)]]+FAR[[#This Row],[Accumulated impairments (Closing balance)]]</f>
        <v>21416.960730593608</v>
      </c>
      <c r="BT532" s="13">
        <f>FAR[[#This Row],[Accumulated depreciation (Opening balance)]]</f>
        <v>-492.20593607305932</v>
      </c>
      <c r="BU532" s="13"/>
      <c r="BV532" s="13"/>
      <c r="BW532" s="10"/>
      <c r="BX532" s="9"/>
      <c r="BY532" s="10"/>
      <c r="BZ532"/>
      <c r="CA532"/>
      <c r="CB532" s="34"/>
      <c r="CC532" s="34"/>
      <c r="CD532" s="34"/>
      <c r="CE532" s="141">
        <f>FAR[[#This Row],[Additions capitalised (@actual cost)]]/FAR[[#This Row],[EUL]]</f>
        <v>0</v>
      </c>
    </row>
    <row r="533" spans="1:83">
      <c r="A533" s="35" t="s">
        <v>1114</v>
      </c>
      <c r="B533" s="9" t="s">
        <v>918</v>
      </c>
      <c r="C533" s="9" t="s">
        <v>54</v>
      </c>
      <c r="D533" s="10" t="s">
        <v>1</v>
      </c>
      <c r="E533" s="9" t="s">
        <v>115</v>
      </c>
      <c r="F533" s="36" t="s">
        <v>99</v>
      </c>
      <c r="G533" s="9" t="s">
        <v>100</v>
      </c>
      <c r="H533" s="3" t="s">
        <v>103</v>
      </c>
      <c r="I533" s="9" t="s">
        <v>100</v>
      </c>
      <c r="J533" s="36" t="s">
        <v>101</v>
      </c>
      <c r="K533" s="10" t="s">
        <v>559</v>
      </c>
      <c r="L533" s="10" t="s">
        <v>559</v>
      </c>
      <c r="M533" s="9" t="s">
        <v>100</v>
      </c>
      <c r="N533" s="10" t="s">
        <v>1146</v>
      </c>
      <c r="O533" s="9" t="s">
        <v>100</v>
      </c>
      <c r="P533" s="10"/>
      <c r="Q533" s="10" t="s">
        <v>1146</v>
      </c>
      <c r="R533" s="10" t="s">
        <v>119</v>
      </c>
      <c r="S533" s="10" t="s">
        <v>130</v>
      </c>
      <c r="T533" s="10" t="s">
        <v>120</v>
      </c>
      <c r="U533" s="10" t="s">
        <v>101</v>
      </c>
      <c r="V533" s="10" t="s">
        <v>121</v>
      </c>
      <c r="W533" s="10" t="s">
        <v>122</v>
      </c>
      <c r="X533" s="10" t="s">
        <v>123</v>
      </c>
      <c r="Y533" s="29">
        <v>1</v>
      </c>
      <c r="Z533" s="138" t="s">
        <v>1150</v>
      </c>
      <c r="AA533" s="138">
        <v>45706</v>
      </c>
      <c r="AB533" s="9" t="s">
        <v>114</v>
      </c>
      <c r="AC533" s="9" t="s">
        <v>124</v>
      </c>
      <c r="AD533" s="15">
        <v>45747</v>
      </c>
      <c r="AE533" s="39" t="s">
        <v>125</v>
      </c>
      <c r="AF533" s="177">
        <v>6</v>
      </c>
      <c r="AG533" s="140">
        <v>0</v>
      </c>
      <c r="AH533" s="9">
        <v>0</v>
      </c>
      <c r="AI533" s="10" t="s">
        <v>126</v>
      </c>
      <c r="AJ533" s="10">
        <f>FAR[[#This Row],[Reporting date]]-FAR[[#This Row],[Take-On Date '[dd-mm-yy']]]</f>
        <v>41</v>
      </c>
      <c r="AK533" s="29">
        <f>FAR[[#This Row],[Years utilised in Days ]]/365</f>
        <v>0.11232876712328767</v>
      </c>
      <c r="AL533" s="12">
        <v>5.8876712328767127</v>
      </c>
      <c r="AM533" s="10">
        <v>0</v>
      </c>
      <c r="AN533" s="12">
        <f>FAR[[#This Row],[Opening RUL]]+FAR[[#This Row],[RUL Adjustment]]</f>
        <v>5.8876712328767127</v>
      </c>
      <c r="AO533" s="12">
        <f>FAR[[#This Row],[EUL]]-FAR[[#This Row],[Years utilised in Years]]</f>
        <v>5.8876712328767127</v>
      </c>
      <c r="AP533" s="12" t="s">
        <v>1054</v>
      </c>
      <c r="AQ533" s="139"/>
      <c r="AR533" s="10" t="s">
        <v>127</v>
      </c>
      <c r="AS533" s="13">
        <v>26291</v>
      </c>
      <c r="AT533" s="13"/>
      <c r="AU533" s="13"/>
      <c r="AV533" s="13"/>
      <c r="AW533" s="13"/>
      <c r="AX533" s="13">
        <v>26291</v>
      </c>
      <c r="AY533" s="226">
        <v>25798.79406392694</v>
      </c>
      <c r="AZ533" s="13">
        <v>0</v>
      </c>
      <c r="BA533" s="13"/>
      <c r="BB533" s="13"/>
      <c r="BC533" s="13">
        <v>-492.20593607305932</v>
      </c>
      <c r="BD533" s="13"/>
      <c r="BE533" s="13" t="s">
        <v>114</v>
      </c>
      <c r="BF533" s="29"/>
      <c r="BG533" s="13"/>
      <c r="BH533" s="13">
        <f>-FAR[[#This Row],[Carrying value (opening balance)]]/FAR[[#This Row],[Opening RUL 30 June 2026]]</f>
        <v>-4381.833333333333</v>
      </c>
      <c r="BI533" s="13">
        <f>FAR[[#This Row],[Depreciation YTD]]/12</f>
        <v>-365.15277777777777</v>
      </c>
      <c r="BJ533" s="13"/>
      <c r="BK533" s="13" t="s">
        <v>116</v>
      </c>
      <c r="BL533" s="13">
        <v>0</v>
      </c>
      <c r="BM533" s="13">
        <f>FAR[[#This Row],[Accumulated depreciation (Opening balance)]]+FAR[[#This Row],[Depreciation YTD]]+FAR[[#This Row],[Derecognitions (acc dep) '[+']]]</f>
        <v>-4874.0392694063921</v>
      </c>
      <c r="BN533" s="13"/>
      <c r="BO533" s="13"/>
      <c r="BP533" s="13"/>
      <c r="BQ533" s="13"/>
      <c r="BR53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33" s="13">
        <f>FAR[[#This Row],[Cost Price (closing balance)]]+FAR[[#This Row],[Accumulated depreciation (Closing balance)]]+FAR[[#This Row],[Accumulated impairments (Closing balance)]]</f>
        <v>21416.960730593608</v>
      </c>
      <c r="BT533" s="13">
        <f>FAR[[#This Row],[Accumulated depreciation (Opening balance)]]</f>
        <v>-492.20593607305932</v>
      </c>
      <c r="BU533" s="13"/>
      <c r="BV533" s="13"/>
      <c r="BW533" s="10"/>
      <c r="BX533" s="9"/>
      <c r="BY533" s="10"/>
      <c r="BZ533"/>
      <c r="CA533"/>
      <c r="CB533" s="34"/>
      <c r="CC533" s="34"/>
      <c r="CD533" s="34"/>
      <c r="CE533" s="141">
        <f>FAR[[#This Row],[Additions capitalised (@actual cost)]]/FAR[[#This Row],[EUL]]</f>
        <v>0</v>
      </c>
    </row>
    <row r="534" spans="1:83">
      <c r="A534" s="35" t="s">
        <v>1115</v>
      </c>
      <c r="B534" s="9" t="s">
        <v>918</v>
      </c>
      <c r="C534" s="9" t="s">
        <v>54</v>
      </c>
      <c r="D534" s="10" t="s">
        <v>1</v>
      </c>
      <c r="E534" s="9" t="s">
        <v>115</v>
      </c>
      <c r="F534" s="36" t="s">
        <v>99</v>
      </c>
      <c r="G534" s="9" t="s">
        <v>100</v>
      </c>
      <c r="H534" s="3" t="s">
        <v>103</v>
      </c>
      <c r="I534" s="9" t="s">
        <v>100</v>
      </c>
      <c r="J534" s="36" t="s">
        <v>101</v>
      </c>
      <c r="K534" s="10" t="s">
        <v>559</v>
      </c>
      <c r="L534" s="10" t="s">
        <v>559</v>
      </c>
      <c r="M534" s="9" t="s">
        <v>100</v>
      </c>
      <c r="N534" s="10" t="s">
        <v>1146</v>
      </c>
      <c r="O534" s="9" t="s">
        <v>100</v>
      </c>
      <c r="P534" s="10"/>
      <c r="Q534" s="10" t="s">
        <v>1146</v>
      </c>
      <c r="R534" s="10" t="s">
        <v>119</v>
      </c>
      <c r="S534" s="10" t="s">
        <v>130</v>
      </c>
      <c r="T534" s="10" t="s">
        <v>120</v>
      </c>
      <c r="U534" s="10" t="s">
        <v>101</v>
      </c>
      <c r="V534" s="10" t="s">
        <v>121</v>
      </c>
      <c r="W534" s="10" t="s">
        <v>122</v>
      </c>
      <c r="X534" s="10" t="s">
        <v>123</v>
      </c>
      <c r="Y534" s="29">
        <v>1</v>
      </c>
      <c r="Z534" s="138" t="s">
        <v>1150</v>
      </c>
      <c r="AA534" s="138">
        <v>45706</v>
      </c>
      <c r="AB534" s="9" t="s">
        <v>114</v>
      </c>
      <c r="AC534" s="9" t="s">
        <v>124</v>
      </c>
      <c r="AD534" s="15">
        <v>45747</v>
      </c>
      <c r="AE534" s="39" t="s">
        <v>125</v>
      </c>
      <c r="AF534" s="177">
        <v>6</v>
      </c>
      <c r="AG534" s="140">
        <v>0</v>
      </c>
      <c r="AH534" s="9">
        <v>0</v>
      </c>
      <c r="AI534" s="10" t="s">
        <v>126</v>
      </c>
      <c r="AJ534" s="10">
        <f>FAR[[#This Row],[Reporting date]]-FAR[[#This Row],[Take-On Date '[dd-mm-yy']]]</f>
        <v>41</v>
      </c>
      <c r="AK534" s="29">
        <f>FAR[[#This Row],[Years utilised in Days ]]/365</f>
        <v>0.11232876712328767</v>
      </c>
      <c r="AL534" s="12">
        <v>5.8876712328767127</v>
      </c>
      <c r="AM534" s="10">
        <v>0</v>
      </c>
      <c r="AN534" s="12">
        <f>FAR[[#This Row],[Opening RUL]]+FAR[[#This Row],[RUL Adjustment]]</f>
        <v>5.8876712328767127</v>
      </c>
      <c r="AO534" s="12">
        <f>FAR[[#This Row],[EUL]]-FAR[[#This Row],[Years utilised in Years]]</f>
        <v>5.8876712328767127</v>
      </c>
      <c r="AP534" s="12" t="s">
        <v>1054</v>
      </c>
      <c r="AQ534" s="139"/>
      <c r="AR534" s="10" t="s">
        <v>127</v>
      </c>
      <c r="AS534" s="13">
        <v>26291</v>
      </c>
      <c r="AT534" s="13"/>
      <c r="AU534" s="13"/>
      <c r="AV534" s="13"/>
      <c r="AW534" s="13"/>
      <c r="AX534" s="13">
        <v>26291</v>
      </c>
      <c r="AY534" s="226">
        <v>25798.79406392694</v>
      </c>
      <c r="AZ534" s="13">
        <v>0</v>
      </c>
      <c r="BA534" s="13"/>
      <c r="BB534" s="13"/>
      <c r="BC534" s="13">
        <v>-492.20593607305932</v>
      </c>
      <c r="BD534" s="13"/>
      <c r="BE534" s="13" t="s">
        <v>114</v>
      </c>
      <c r="BF534" s="29"/>
      <c r="BG534" s="13"/>
      <c r="BH534" s="13">
        <f>-FAR[[#This Row],[Carrying value (opening balance)]]/FAR[[#This Row],[Opening RUL 30 June 2026]]</f>
        <v>-4381.833333333333</v>
      </c>
      <c r="BI534" s="13">
        <f>FAR[[#This Row],[Depreciation YTD]]/12</f>
        <v>-365.15277777777777</v>
      </c>
      <c r="BJ534" s="13"/>
      <c r="BK534" s="13" t="s">
        <v>116</v>
      </c>
      <c r="BL534" s="13">
        <v>0</v>
      </c>
      <c r="BM534" s="13">
        <f>FAR[[#This Row],[Accumulated depreciation (Opening balance)]]+FAR[[#This Row],[Depreciation YTD]]+FAR[[#This Row],[Derecognitions (acc dep) '[+']]]</f>
        <v>-4874.0392694063921</v>
      </c>
      <c r="BN534" s="13"/>
      <c r="BO534" s="13"/>
      <c r="BP534" s="13"/>
      <c r="BQ534" s="13"/>
      <c r="BR53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34" s="13">
        <f>FAR[[#This Row],[Cost Price (closing balance)]]+FAR[[#This Row],[Accumulated depreciation (Closing balance)]]+FAR[[#This Row],[Accumulated impairments (Closing balance)]]</f>
        <v>21416.960730593608</v>
      </c>
      <c r="BT534" s="13">
        <f>FAR[[#This Row],[Accumulated depreciation (Opening balance)]]</f>
        <v>-492.20593607305932</v>
      </c>
      <c r="BU534" s="13"/>
      <c r="BV534" s="13"/>
      <c r="BW534" s="10"/>
      <c r="BX534" s="9"/>
      <c r="BY534" s="10"/>
      <c r="BZ534"/>
      <c r="CA534"/>
      <c r="CB534" s="34"/>
      <c r="CC534" s="34"/>
      <c r="CD534" s="34"/>
      <c r="CE534" s="141">
        <f>FAR[[#This Row],[Additions capitalised (@actual cost)]]/FAR[[#This Row],[EUL]]</f>
        <v>0</v>
      </c>
    </row>
    <row r="535" spans="1:83">
      <c r="A535" s="35" t="s">
        <v>1116</v>
      </c>
      <c r="B535" s="9" t="s">
        <v>918</v>
      </c>
      <c r="C535" s="9" t="s">
        <v>54</v>
      </c>
      <c r="D535" s="10" t="s">
        <v>1</v>
      </c>
      <c r="E535" s="9" t="s">
        <v>115</v>
      </c>
      <c r="F535" s="36" t="s">
        <v>99</v>
      </c>
      <c r="G535" s="9" t="s">
        <v>100</v>
      </c>
      <c r="H535" s="3" t="s">
        <v>103</v>
      </c>
      <c r="I535" s="9" t="s">
        <v>100</v>
      </c>
      <c r="J535" s="36" t="s">
        <v>101</v>
      </c>
      <c r="K535" s="10" t="s">
        <v>559</v>
      </c>
      <c r="L535" s="10" t="s">
        <v>559</v>
      </c>
      <c r="M535" s="9" t="s">
        <v>100</v>
      </c>
      <c r="N535" s="10" t="s">
        <v>1146</v>
      </c>
      <c r="O535" s="9" t="s">
        <v>100</v>
      </c>
      <c r="P535" s="10"/>
      <c r="Q535" s="10" t="s">
        <v>1146</v>
      </c>
      <c r="R535" s="10" t="s">
        <v>119</v>
      </c>
      <c r="S535" s="10" t="s">
        <v>130</v>
      </c>
      <c r="T535" s="10" t="s">
        <v>120</v>
      </c>
      <c r="U535" s="10" t="s">
        <v>101</v>
      </c>
      <c r="V535" s="10" t="s">
        <v>121</v>
      </c>
      <c r="W535" s="10" t="s">
        <v>122</v>
      </c>
      <c r="X535" s="10" t="s">
        <v>123</v>
      </c>
      <c r="Y535" s="29">
        <v>1</v>
      </c>
      <c r="Z535" s="138" t="s">
        <v>1150</v>
      </c>
      <c r="AA535" s="138">
        <v>45706</v>
      </c>
      <c r="AB535" s="9" t="s">
        <v>114</v>
      </c>
      <c r="AC535" s="9" t="s">
        <v>124</v>
      </c>
      <c r="AD535" s="15">
        <v>45747</v>
      </c>
      <c r="AE535" s="39" t="s">
        <v>125</v>
      </c>
      <c r="AF535" s="177">
        <v>6</v>
      </c>
      <c r="AG535" s="140">
        <v>0</v>
      </c>
      <c r="AH535" s="9">
        <v>0</v>
      </c>
      <c r="AI535" s="10" t="s">
        <v>126</v>
      </c>
      <c r="AJ535" s="10">
        <f>FAR[[#This Row],[Reporting date]]-FAR[[#This Row],[Take-On Date '[dd-mm-yy']]]</f>
        <v>41</v>
      </c>
      <c r="AK535" s="29">
        <f>FAR[[#This Row],[Years utilised in Days ]]/365</f>
        <v>0.11232876712328767</v>
      </c>
      <c r="AL535" s="12">
        <v>5.8876712328767127</v>
      </c>
      <c r="AM535" s="10">
        <v>0</v>
      </c>
      <c r="AN535" s="12">
        <f>FAR[[#This Row],[Opening RUL]]+FAR[[#This Row],[RUL Adjustment]]</f>
        <v>5.8876712328767127</v>
      </c>
      <c r="AO535" s="12">
        <f>FAR[[#This Row],[EUL]]-FAR[[#This Row],[Years utilised in Years]]</f>
        <v>5.8876712328767127</v>
      </c>
      <c r="AP535" s="12" t="s">
        <v>1054</v>
      </c>
      <c r="AQ535" s="139"/>
      <c r="AR535" s="10" t="s">
        <v>127</v>
      </c>
      <c r="AS535" s="13">
        <v>26291</v>
      </c>
      <c r="AT535" s="13"/>
      <c r="AU535" s="13"/>
      <c r="AV535" s="13"/>
      <c r="AW535" s="13"/>
      <c r="AX535" s="13">
        <v>26291</v>
      </c>
      <c r="AY535" s="226">
        <v>25798.79406392694</v>
      </c>
      <c r="AZ535" s="13">
        <v>0</v>
      </c>
      <c r="BA535" s="13"/>
      <c r="BB535" s="13"/>
      <c r="BC535" s="13">
        <v>-492.20593607305932</v>
      </c>
      <c r="BD535" s="13"/>
      <c r="BE535" s="13" t="s">
        <v>114</v>
      </c>
      <c r="BF535" s="29"/>
      <c r="BG535" s="13"/>
      <c r="BH535" s="13">
        <f>-FAR[[#This Row],[Carrying value (opening balance)]]/FAR[[#This Row],[Opening RUL 30 June 2026]]</f>
        <v>-4381.833333333333</v>
      </c>
      <c r="BI535" s="13">
        <f>FAR[[#This Row],[Depreciation YTD]]/12</f>
        <v>-365.15277777777777</v>
      </c>
      <c r="BJ535" s="13"/>
      <c r="BK535" s="13" t="s">
        <v>116</v>
      </c>
      <c r="BL535" s="13">
        <v>0</v>
      </c>
      <c r="BM535" s="13">
        <f>FAR[[#This Row],[Accumulated depreciation (Opening balance)]]+FAR[[#This Row],[Depreciation YTD]]+FAR[[#This Row],[Derecognitions (acc dep) '[+']]]</f>
        <v>-4874.0392694063921</v>
      </c>
      <c r="BN535" s="13"/>
      <c r="BO535" s="13"/>
      <c r="BP535" s="13"/>
      <c r="BQ535" s="13"/>
      <c r="BR53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35" s="13">
        <f>FAR[[#This Row],[Cost Price (closing balance)]]+FAR[[#This Row],[Accumulated depreciation (Closing balance)]]+FAR[[#This Row],[Accumulated impairments (Closing balance)]]</f>
        <v>21416.960730593608</v>
      </c>
      <c r="BT535" s="13">
        <f>FAR[[#This Row],[Accumulated depreciation (Opening balance)]]</f>
        <v>-492.20593607305932</v>
      </c>
      <c r="BU535" s="13"/>
      <c r="BV535" s="13"/>
      <c r="BW535" s="10"/>
      <c r="BX535" s="9"/>
      <c r="BY535" s="10"/>
      <c r="BZ535"/>
      <c r="CA535"/>
      <c r="CB535" s="34"/>
      <c r="CC535" s="34"/>
      <c r="CD535" s="34"/>
      <c r="CE535" s="141">
        <f>FAR[[#This Row],[Additions capitalised (@actual cost)]]/FAR[[#This Row],[EUL]]</f>
        <v>0</v>
      </c>
    </row>
    <row r="536" spans="1:83">
      <c r="A536" s="35" t="s">
        <v>1117</v>
      </c>
      <c r="B536" s="9" t="s">
        <v>918</v>
      </c>
      <c r="C536" s="9" t="s">
        <v>54</v>
      </c>
      <c r="D536" s="10" t="s">
        <v>1</v>
      </c>
      <c r="E536" s="9" t="s">
        <v>115</v>
      </c>
      <c r="F536" s="36" t="s">
        <v>99</v>
      </c>
      <c r="G536" s="9" t="s">
        <v>100</v>
      </c>
      <c r="H536" s="3" t="s">
        <v>103</v>
      </c>
      <c r="I536" s="9" t="s">
        <v>100</v>
      </c>
      <c r="J536" s="36" t="s">
        <v>101</v>
      </c>
      <c r="K536" s="10" t="s">
        <v>559</v>
      </c>
      <c r="L536" s="10" t="s">
        <v>559</v>
      </c>
      <c r="M536" s="9" t="s">
        <v>100</v>
      </c>
      <c r="N536" s="10" t="s">
        <v>1146</v>
      </c>
      <c r="O536" s="9" t="s">
        <v>100</v>
      </c>
      <c r="P536" s="10"/>
      <c r="Q536" s="10" t="s">
        <v>1146</v>
      </c>
      <c r="R536" s="10" t="s">
        <v>119</v>
      </c>
      <c r="S536" s="10" t="s">
        <v>130</v>
      </c>
      <c r="T536" s="10" t="s">
        <v>120</v>
      </c>
      <c r="U536" s="10" t="s">
        <v>101</v>
      </c>
      <c r="V536" s="10" t="s">
        <v>121</v>
      </c>
      <c r="W536" s="10" t="s">
        <v>122</v>
      </c>
      <c r="X536" s="10" t="s">
        <v>123</v>
      </c>
      <c r="Y536" s="29">
        <v>1</v>
      </c>
      <c r="Z536" s="138" t="s">
        <v>1150</v>
      </c>
      <c r="AA536" s="138">
        <v>45706</v>
      </c>
      <c r="AB536" s="9" t="s">
        <v>114</v>
      </c>
      <c r="AC536" s="9" t="s">
        <v>124</v>
      </c>
      <c r="AD536" s="15">
        <v>45747</v>
      </c>
      <c r="AE536" s="39" t="s">
        <v>125</v>
      </c>
      <c r="AF536" s="177">
        <v>6</v>
      </c>
      <c r="AG536" s="140">
        <v>0</v>
      </c>
      <c r="AH536" s="9">
        <v>0</v>
      </c>
      <c r="AI536" s="10" t="s">
        <v>126</v>
      </c>
      <c r="AJ536" s="10">
        <f>FAR[[#This Row],[Reporting date]]-FAR[[#This Row],[Take-On Date '[dd-mm-yy']]]</f>
        <v>41</v>
      </c>
      <c r="AK536" s="29">
        <f>FAR[[#This Row],[Years utilised in Days ]]/365</f>
        <v>0.11232876712328767</v>
      </c>
      <c r="AL536" s="12">
        <v>5.8876712328767127</v>
      </c>
      <c r="AM536" s="10">
        <v>0</v>
      </c>
      <c r="AN536" s="12">
        <f>FAR[[#This Row],[Opening RUL]]+FAR[[#This Row],[RUL Adjustment]]</f>
        <v>5.8876712328767127</v>
      </c>
      <c r="AO536" s="12">
        <f>FAR[[#This Row],[EUL]]-FAR[[#This Row],[Years utilised in Years]]</f>
        <v>5.8876712328767127</v>
      </c>
      <c r="AP536" s="12" t="s">
        <v>1054</v>
      </c>
      <c r="AQ536" s="139"/>
      <c r="AR536" s="10" t="s">
        <v>127</v>
      </c>
      <c r="AS536" s="13">
        <v>26291</v>
      </c>
      <c r="AT536" s="13"/>
      <c r="AU536" s="13"/>
      <c r="AV536" s="13"/>
      <c r="AW536" s="13"/>
      <c r="AX536" s="13">
        <v>26291</v>
      </c>
      <c r="AY536" s="226">
        <v>25798.79406392694</v>
      </c>
      <c r="AZ536" s="13">
        <v>0</v>
      </c>
      <c r="BA536" s="13"/>
      <c r="BB536" s="13"/>
      <c r="BC536" s="13">
        <v>-492.20593607305932</v>
      </c>
      <c r="BD536" s="13"/>
      <c r="BE536" s="13" t="s">
        <v>114</v>
      </c>
      <c r="BF536" s="29"/>
      <c r="BG536" s="13"/>
      <c r="BH536" s="13">
        <f>-FAR[[#This Row],[Carrying value (opening balance)]]/FAR[[#This Row],[Opening RUL 30 June 2026]]</f>
        <v>-4381.833333333333</v>
      </c>
      <c r="BI536" s="13">
        <f>FAR[[#This Row],[Depreciation YTD]]/12</f>
        <v>-365.15277777777777</v>
      </c>
      <c r="BJ536" s="13"/>
      <c r="BK536" s="13" t="s">
        <v>116</v>
      </c>
      <c r="BL536" s="13">
        <v>0</v>
      </c>
      <c r="BM536" s="13">
        <f>FAR[[#This Row],[Accumulated depreciation (Opening balance)]]+FAR[[#This Row],[Depreciation YTD]]+FAR[[#This Row],[Derecognitions (acc dep) '[+']]]</f>
        <v>-4874.0392694063921</v>
      </c>
      <c r="BN536" s="13"/>
      <c r="BO536" s="13"/>
      <c r="BP536" s="13"/>
      <c r="BQ536" s="13"/>
      <c r="BR53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36" s="13">
        <f>FAR[[#This Row],[Cost Price (closing balance)]]+FAR[[#This Row],[Accumulated depreciation (Closing balance)]]+FAR[[#This Row],[Accumulated impairments (Closing balance)]]</f>
        <v>21416.960730593608</v>
      </c>
      <c r="BT536" s="13">
        <f>FAR[[#This Row],[Accumulated depreciation (Opening balance)]]</f>
        <v>-492.20593607305932</v>
      </c>
      <c r="BU536" s="13"/>
      <c r="BV536" s="13"/>
      <c r="BW536" s="10"/>
      <c r="BX536" s="9"/>
      <c r="BY536" s="10"/>
      <c r="BZ536"/>
      <c r="CA536" t="s">
        <v>1140</v>
      </c>
      <c r="CB536" s="34"/>
      <c r="CC536" s="34"/>
      <c r="CD536" s="34"/>
      <c r="CE536" s="141">
        <f>FAR[[#This Row],[Additions capitalised (@actual cost)]]/FAR[[#This Row],[EUL]]</f>
        <v>0</v>
      </c>
    </row>
    <row r="537" spans="1:83">
      <c r="A537" s="35" t="s">
        <v>1118</v>
      </c>
      <c r="B537" s="9" t="s">
        <v>918</v>
      </c>
      <c r="C537" s="9" t="s">
        <v>54</v>
      </c>
      <c r="D537" s="10" t="s">
        <v>1</v>
      </c>
      <c r="E537" s="9" t="s">
        <v>115</v>
      </c>
      <c r="F537" s="36" t="s">
        <v>99</v>
      </c>
      <c r="G537" s="9" t="s">
        <v>100</v>
      </c>
      <c r="H537" s="3" t="s">
        <v>103</v>
      </c>
      <c r="I537" s="9" t="s">
        <v>100</v>
      </c>
      <c r="J537" s="36" t="s">
        <v>101</v>
      </c>
      <c r="K537" s="10" t="s">
        <v>559</v>
      </c>
      <c r="L537" s="10" t="s">
        <v>559</v>
      </c>
      <c r="M537" s="9" t="s">
        <v>100</v>
      </c>
      <c r="N537" s="10" t="s">
        <v>1146</v>
      </c>
      <c r="O537" s="9" t="s">
        <v>100</v>
      </c>
      <c r="P537" s="10"/>
      <c r="Q537" s="10" t="s">
        <v>1146</v>
      </c>
      <c r="R537" s="10" t="s">
        <v>119</v>
      </c>
      <c r="S537" s="10" t="s">
        <v>130</v>
      </c>
      <c r="T537" s="10" t="s">
        <v>120</v>
      </c>
      <c r="U537" s="10" t="s">
        <v>101</v>
      </c>
      <c r="V537" s="10" t="s">
        <v>121</v>
      </c>
      <c r="W537" s="10" t="s">
        <v>122</v>
      </c>
      <c r="X537" s="10" t="s">
        <v>123</v>
      </c>
      <c r="Y537" s="29">
        <v>1</v>
      </c>
      <c r="Z537" s="138" t="s">
        <v>1150</v>
      </c>
      <c r="AA537" s="138">
        <v>45706</v>
      </c>
      <c r="AB537" s="9" t="s">
        <v>114</v>
      </c>
      <c r="AC537" s="9" t="s">
        <v>124</v>
      </c>
      <c r="AD537" s="15">
        <v>45747</v>
      </c>
      <c r="AE537" s="39" t="s">
        <v>125</v>
      </c>
      <c r="AF537" s="177">
        <v>6</v>
      </c>
      <c r="AG537" s="140">
        <v>0</v>
      </c>
      <c r="AH537" s="9">
        <v>0</v>
      </c>
      <c r="AI537" s="10" t="s">
        <v>126</v>
      </c>
      <c r="AJ537" s="10">
        <f>FAR[[#This Row],[Reporting date]]-FAR[[#This Row],[Take-On Date '[dd-mm-yy']]]</f>
        <v>41</v>
      </c>
      <c r="AK537" s="29">
        <f>FAR[[#This Row],[Years utilised in Days ]]/365</f>
        <v>0.11232876712328767</v>
      </c>
      <c r="AL537" s="12">
        <v>5.8876712328767127</v>
      </c>
      <c r="AM537" s="10">
        <v>0</v>
      </c>
      <c r="AN537" s="12">
        <f>FAR[[#This Row],[Opening RUL]]+FAR[[#This Row],[RUL Adjustment]]</f>
        <v>5.8876712328767127</v>
      </c>
      <c r="AO537" s="12">
        <f>FAR[[#This Row],[EUL]]-FAR[[#This Row],[Years utilised in Years]]</f>
        <v>5.8876712328767127</v>
      </c>
      <c r="AP537" s="12" t="s">
        <v>1054</v>
      </c>
      <c r="AQ537" s="139"/>
      <c r="AR537" s="10" t="s">
        <v>127</v>
      </c>
      <c r="AS537" s="13">
        <v>26291</v>
      </c>
      <c r="AT537" s="13"/>
      <c r="AU537" s="13"/>
      <c r="AV537" s="13"/>
      <c r="AW537" s="13"/>
      <c r="AX537" s="13">
        <v>26291</v>
      </c>
      <c r="AY537" s="226">
        <v>25798.79406392694</v>
      </c>
      <c r="AZ537" s="13">
        <v>0</v>
      </c>
      <c r="BA537" s="13"/>
      <c r="BB537" s="13"/>
      <c r="BC537" s="13">
        <v>-492.20593607305932</v>
      </c>
      <c r="BD537" s="13"/>
      <c r="BE537" s="13" t="s">
        <v>114</v>
      </c>
      <c r="BF537" s="29"/>
      <c r="BG537" s="13"/>
      <c r="BH537" s="13">
        <f>-FAR[[#This Row],[Carrying value (opening balance)]]/FAR[[#This Row],[Opening RUL 30 June 2026]]</f>
        <v>-4381.833333333333</v>
      </c>
      <c r="BI537" s="13">
        <f>FAR[[#This Row],[Depreciation YTD]]/12</f>
        <v>-365.15277777777777</v>
      </c>
      <c r="BJ537" s="13"/>
      <c r="BK537" s="13" t="s">
        <v>116</v>
      </c>
      <c r="BL537" s="13">
        <v>0</v>
      </c>
      <c r="BM537" s="13">
        <f>FAR[[#This Row],[Accumulated depreciation (Opening balance)]]+FAR[[#This Row],[Depreciation YTD]]+FAR[[#This Row],[Derecognitions (acc dep) '[+']]]</f>
        <v>-4874.0392694063921</v>
      </c>
      <c r="BN537" s="13"/>
      <c r="BO537" s="13"/>
      <c r="BP537" s="13"/>
      <c r="BQ537" s="13"/>
      <c r="BR53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37" s="13">
        <f>FAR[[#This Row],[Cost Price (closing balance)]]+FAR[[#This Row],[Accumulated depreciation (Closing balance)]]+FAR[[#This Row],[Accumulated impairments (Closing balance)]]</f>
        <v>21416.960730593608</v>
      </c>
      <c r="BT537" s="13">
        <f>FAR[[#This Row],[Accumulated depreciation (Opening balance)]]</f>
        <v>-492.20593607305932</v>
      </c>
      <c r="BU537" s="13"/>
      <c r="BV537" s="13"/>
      <c r="BW537" s="10"/>
      <c r="BX537" s="9"/>
      <c r="BY537" s="10"/>
      <c r="BZ537"/>
      <c r="CA537" t="s">
        <v>1141</v>
      </c>
      <c r="CB537" s="34"/>
      <c r="CC537" s="34"/>
      <c r="CD537" s="34"/>
      <c r="CE537" s="141">
        <f>FAR[[#This Row],[Additions capitalised (@actual cost)]]/FAR[[#This Row],[EUL]]</f>
        <v>0</v>
      </c>
    </row>
    <row r="538" spans="1:83">
      <c r="A538" s="35" t="s">
        <v>1119</v>
      </c>
      <c r="B538" s="9" t="s">
        <v>918</v>
      </c>
      <c r="C538" s="9" t="s">
        <v>54</v>
      </c>
      <c r="D538" s="10" t="s">
        <v>1</v>
      </c>
      <c r="E538" s="9" t="s">
        <v>115</v>
      </c>
      <c r="F538" s="36" t="s">
        <v>99</v>
      </c>
      <c r="G538" s="9" t="s">
        <v>100</v>
      </c>
      <c r="H538" s="3" t="s">
        <v>103</v>
      </c>
      <c r="I538" s="9" t="s">
        <v>100</v>
      </c>
      <c r="J538" s="36" t="s">
        <v>101</v>
      </c>
      <c r="K538" s="10" t="s">
        <v>559</v>
      </c>
      <c r="L538" s="10" t="s">
        <v>559</v>
      </c>
      <c r="M538" s="9" t="s">
        <v>100</v>
      </c>
      <c r="N538" s="10" t="s">
        <v>1146</v>
      </c>
      <c r="O538" s="9" t="s">
        <v>100</v>
      </c>
      <c r="P538" s="10"/>
      <c r="Q538" s="10" t="s">
        <v>1146</v>
      </c>
      <c r="R538" s="10" t="s">
        <v>119</v>
      </c>
      <c r="S538" s="10" t="s">
        <v>130</v>
      </c>
      <c r="T538" s="10" t="s">
        <v>120</v>
      </c>
      <c r="U538" s="10" t="s">
        <v>101</v>
      </c>
      <c r="V538" s="10" t="s">
        <v>121</v>
      </c>
      <c r="W538" s="10" t="s">
        <v>122</v>
      </c>
      <c r="X538" s="10" t="s">
        <v>123</v>
      </c>
      <c r="Y538" s="29">
        <v>1</v>
      </c>
      <c r="Z538" s="138" t="s">
        <v>1150</v>
      </c>
      <c r="AA538" s="138">
        <v>45706</v>
      </c>
      <c r="AB538" s="9" t="s">
        <v>114</v>
      </c>
      <c r="AC538" s="9" t="s">
        <v>124</v>
      </c>
      <c r="AD538" s="15">
        <v>45747</v>
      </c>
      <c r="AE538" s="39" t="s">
        <v>125</v>
      </c>
      <c r="AF538" s="177">
        <v>6</v>
      </c>
      <c r="AG538" s="140">
        <v>0</v>
      </c>
      <c r="AH538" s="9">
        <v>0</v>
      </c>
      <c r="AI538" s="10" t="s">
        <v>126</v>
      </c>
      <c r="AJ538" s="10">
        <f>FAR[[#This Row],[Reporting date]]-FAR[[#This Row],[Take-On Date '[dd-mm-yy']]]</f>
        <v>41</v>
      </c>
      <c r="AK538" s="29">
        <f>FAR[[#This Row],[Years utilised in Days ]]/365</f>
        <v>0.11232876712328767</v>
      </c>
      <c r="AL538" s="12">
        <v>5.8876712328767127</v>
      </c>
      <c r="AM538" s="10">
        <v>0</v>
      </c>
      <c r="AN538" s="12">
        <f>FAR[[#This Row],[Opening RUL]]+FAR[[#This Row],[RUL Adjustment]]</f>
        <v>5.8876712328767127</v>
      </c>
      <c r="AO538" s="12">
        <f>FAR[[#This Row],[EUL]]-FAR[[#This Row],[Years utilised in Years]]</f>
        <v>5.8876712328767127</v>
      </c>
      <c r="AP538" s="12" t="s">
        <v>1054</v>
      </c>
      <c r="AQ538" s="139"/>
      <c r="AR538" s="10" t="s">
        <v>127</v>
      </c>
      <c r="AS538" s="13">
        <v>26291</v>
      </c>
      <c r="AT538" s="13"/>
      <c r="AU538" s="13"/>
      <c r="AV538" s="13"/>
      <c r="AW538" s="13"/>
      <c r="AX538" s="13">
        <v>26291</v>
      </c>
      <c r="AY538" s="226">
        <v>26291</v>
      </c>
      <c r="AZ538" s="13">
        <v>0</v>
      </c>
      <c r="BA538" s="13"/>
      <c r="BB538" s="13"/>
      <c r="BC538" s="13">
        <v>0</v>
      </c>
      <c r="BD538" s="13"/>
      <c r="BE538" s="13" t="s">
        <v>114</v>
      </c>
      <c r="BF538" s="29"/>
      <c r="BG538" s="13"/>
      <c r="BH538" s="13">
        <f>-FAR[[#This Row],[Carrying value (opening balance)]]/FAR[[#This Row],[Opening RUL 30 June 2026]]</f>
        <v>-4465.4327594229871</v>
      </c>
      <c r="BI538" s="13">
        <f>FAR[[#This Row],[Depreciation YTD]]/12</f>
        <v>-372.11939661858224</v>
      </c>
      <c r="BJ538" s="13"/>
      <c r="BK538" s="13" t="s">
        <v>116</v>
      </c>
      <c r="BL538" s="13">
        <v>0</v>
      </c>
      <c r="BM538" s="13">
        <f>FAR[[#This Row],[Accumulated depreciation (Opening balance)]]+FAR[[#This Row],[Depreciation YTD]]+FAR[[#This Row],[Derecognitions (acc dep) '[+']]]</f>
        <v>-4465.4327594229871</v>
      </c>
      <c r="BN538" s="13"/>
      <c r="BO538" s="13"/>
      <c r="BP538" s="13"/>
      <c r="BQ538" s="13"/>
      <c r="BR53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38" s="13">
        <f>FAR[[#This Row],[Cost Price (closing balance)]]+FAR[[#This Row],[Accumulated depreciation (Closing balance)]]+FAR[[#This Row],[Accumulated impairments (Closing balance)]]</f>
        <v>21825.567240577013</v>
      </c>
      <c r="BT538" s="13">
        <f>FAR[[#This Row],[Accumulated depreciation (Opening balance)]]</f>
        <v>0</v>
      </c>
      <c r="BU538" s="13"/>
      <c r="BV538" s="13"/>
      <c r="BW538" s="10"/>
      <c r="BX538" s="9"/>
      <c r="BY538" s="10"/>
      <c r="BZ538"/>
      <c r="CA538" t="s">
        <v>1142</v>
      </c>
      <c r="CB538" s="34"/>
      <c r="CC538" s="34"/>
      <c r="CD538" s="34"/>
      <c r="CE538" s="141">
        <f>FAR[[#This Row],[Additions capitalised (@actual cost)]]/FAR[[#This Row],[EUL]]</f>
        <v>0</v>
      </c>
    </row>
    <row r="539" spans="1:83">
      <c r="A539" s="35" t="s">
        <v>1154</v>
      </c>
      <c r="B539" s="9" t="s">
        <v>1166</v>
      </c>
      <c r="C539" s="9" t="s">
        <v>54</v>
      </c>
      <c r="D539" s="10" t="s">
        <v>1</v>
      </c>
      <c r="E539" s="9" t="s">
        <v>115</v>
      </c>
      <c r="F539" s="36" t="s">
        <v>99</v>
      </c>
      <c r="G539" s="9" t="s">
        <v>100</v>
      </c>
      <c r="H539" s="3" t="s">
        <v>103</v>
      </c>
      <c r="I539" s="9" t="s">
        <v>100</v>
      </c>
      <c r="J539" s="36" t="s">
        <v>101</v>
      </c>
      <c r="K539" s="10" t="s">
        <v>559</v>
      </c>
      <c r="L539" s="10" t="s">
        <v>559</v>
      </c>
      <c r="M539" s="9" t="s">
        <v>100</v>
      </c>
      <c r="N539" s="10" t="s">
        <v>1159</v>
      </c>
      <c r="O539" s="9" t="s">
        <v>100</v>
      </c>
      <c r="P539" s="10"/>
      <c r="Q539" s="10" t="s">
        <v>1159</v>
      </c>
      <c r="R539" s="10" t="s">
        <v>119</v>
      </c>
      <c r="S539" s="10" t="s">
        <v>130</v>
      </c>
      <c r="T539" s="10" t="s">
        <v>120</v>
      </c>
      <c r="U539" s="10" t="s">
        <v>101</v>
      </c>
      <c r="V539" s="10" t="s">
        <v>121</v>
      </c>
      <c r="W539" s="10" t="s">
        <v>122</v>
      </c>
      <c r="X539" s="10" t="s">
        <v>123</v>
      </c>
      <c r="Y539" s="29">
        <v>1</v>
      </c>
      <c r="Z539" s="138" t="s">
        <v>1153</v>
      </c>
      <c r="AA539" s="138">
        <v>45453</v>
      </c>
      <c r="AB539" s="9" t="s">
        <v>114</v>
      </c>
      <c r="AC539" s="9" t="s">
        <v>124</v>
      </c>
      <c r="AD539" s="15">
        <v>45747</v>
      </c>
      <c r="AE539" s="39" t="s">
        <v>125</v>
      </c>
      <c r="AF539" s="177">
        <v>6</v>
      </c>
      <c r="AG539" s="140">
        <v>0</v>
      </c>
      <c r="AH539" s="9">
        <v>0</v>
      </c>
      <c r="AI539" s="10" t="s">
        <v>126</v>
      </c>
      <c r="AJ539" s="10">
        <f>FAR[[#This Row],[Reporting date]]-FAR[[#This Row],[Take-On Date '[dd-mm-yy']]]</f>
        <v>294</v>
      </c>
      <c r="AK539" s="29">
        <f>FAR[[#This Row],[Years utilised in Days ]]/365</f>
        <v>0.80547945205479454</v>
      </c>
      <c r="AL539" s="12">
        <v>5.1945205479452055</v>
      </c>
      <c r="AM539" s="10">
        <v>0</v>
      </c>
      <c r="AN539" s="12">
        <f>FAR[[#This Row],[Opening RUL]]+FAR[[#This Row],[RUL Adjustment]]</f>
        <v>5.1945205479452055</v>
      </c>
      <c r="AO539" s="12">
        <f>FAR[[#This Row],[EUL]]-FAR[[#This Row],[Years utilised in Years]]</f>
        <v>5.1945205479452055</v>
      </c>
      <c r="AP539" s="12" t="s">
        <v>1054</v>
      </c>
      <c r="AQ539" s="139"/>
      <c r="AR539" s="10" t="s">
        <v>127</v>
      </c>
      <c r="AS539" s="13">
        <v>29000</v>
      </c>
      <c r="AT539" s="13"/>
      <c r="AU539" s="13"/>
      <c r="AV539" s="13"/>
      <c r="AW539" s="13"/>
      <c r="AX539" s="13">
        <v>29000</v>
      </c>
      <c r="AY539" s="226">
        <v>25106.849315068492</v>
      </c>
      <c r="AZ539" s="13">
        <v>0</v>
      </c>
      <c r="BA539" s="13"/>
      <c r="BB539" s="13"/>
      <c r="BC539" s="13">
        <v>-3893.1506849315069</v>
      </c>
      <c r="BD539" s="13"/>
      <c r="BE539" s="13" t="s">
        <v>114</v>
      </c>
      <c r="BF539" s="29"/>
      <c r="BG539" s="13"/>
      <c r="BH539" s="13">
        <f>-FAR[[#This Row],[Carrying value (opening balance)]]/FAR[[#This Row],[Opening RUL 30 June 2026]]</f>
        <v>-4833.333333333333</v>
      </c>
      <c r="BI539" s="13">
        <f>FAR[[#This Row],[Depreciation YTD]]/12</f>
        <v>-402.77777777777777</v>
      </c>
      <c r="BJ539" s="13"/>
      <c r="BK539" s="13" t="s">
        <v>116</v>
      </c>
      <c r="BL539" s="13">
        <v>0</v>
      </c>
      <c r="BM539" s="13">
        <f>FAR[[#This Row],[Accumulated depreciation (Opening balance)]]+FAR[[#This Row],[Depreciation YTD]]+FAR[[#This Row],[Derecognitions (acc dep) '[+']]]</f>
        <v>-8726.4840182648404</v>
      </c>
      <c r="BN539" s="13"/>
      <c r="BO539" s="13"/>
      <c r="BP539" s="13"/>
      <c r="BQ539" s="13"/>
      <c r="BR53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39" s="13">
        <f>FAR[[#This Row],[Cost Price (closing balance)]]+FAR[[#This Row],[Accumulated depreciation (Closing balance)]]+FAR[[#This Row],[Accumulated impairments (Closing balance)]]</f>
        <v>20273.51598173516</v>
      </c>
      <c r="BT539" s="13"/>
      <c r="BU539" s="13"/>
      <c r="BV539" s="13" t="s">
        <v>1133</v>
      </c>
      <c r="BW539" s="10"/>
      <c r="BX539" s="9"/>
      <c r="BY539" s="10"/>
      <c r="BZ539"/>
      <c r="CA539"/>
      <c r="CB539" s="34"/>
      <c r="CC539" s="34"/>
      <c r="CD539" s="34"/>
      <c r="CE539" s="141">
        <f>FAR[[#This Row],[Additions capitalised (@actual cost)]]/FAR[[#This Row],[EUL]]</f>
        <v>0</v>
      </c>
    </row>
    <row r="540" spans="1:83">
      <c r="A540" s="35" t="s">
        <v>1106</v>
      </c>
      <c r="B540" s="9" t="s">
        <v>1167</v>
      </c>
      <c r="C540" s="9" t="s">
        <v>54</v>
      </c>
      <c r="D540" s="10" t="s">
        <v>1</v>
      </c>
      <c r="E540" s="9" t="s">
        <v>115</v>
      </c>
      <c r="F540" s="36" t="s">
        <v>99</v>
      </c>
      <c r="G540" s="9" t="s">
        <v>100</v>
      </c>
      <c r="H540" s="3" t="s">
        <v>103</v>
      </c>
      <c r="I540" s="9" t="s">
        <v>100</v>
      </c>
      <c r="J540" s="36" t="s">
        <v>101</v>
      </c>
      <c r="K540" s="10" t="s">
        <v>559</v>
      </c>
      <c r="L540" s="10" t="s">
        <v>559</v>
      </c>
      <c r="M540" s="9" t="s">
        <v>100</v>
      </c>
      <c r="N540" s="10" t="s">
        <v>1160</v>
      </c>
      <c r="O540" s="9" t="s">
        <v>100</v>
      </c>
      <c r="P540" s="10"/>
      <c r="Q540" s="10" t="s">
        <v>1160</v>
      </c>
      <c r="R540" s="10" t="s">
        <v>119</v>
      </c>
      <c r="S540" s="10" t="s">
        <v>130</v>
      </c>
      <c r="T540" s="10" t="s">
        <v>120</v>
      </c>
      <c r="U540" s="10" t="s">
        <v>101</v>
      </c>
      <c r="V540" s="10" t="s">
        <v>121</v>
      </c>
      <c r="W540" s="10" t="s">
        <v>122</v>
      </c>
      <c r="X540" s="10" t="s">
        <v>123</v>
      </c>
      <c r="Y540" s="29">
        <v>1</v>
      </c>
      <c r="Z540" s="138" t="s">
        <v>1153</v>
      </c>
      <c r="AA540" s="138">
        <v>45453</v>
      </c>
      <c r="AB540" s="9" t="s">
        <v>114</v>
      </c>
      <c r="AC540" s="9" t="s">
        <v>124</v>
      </c>
      <c r="AD540" s="15">
        <v>45747</v>
      </c>
      <c r="AE540" s="39" t="s">
        <v>125</v>
      </c>
      <c r="AF540" s="177">
        <v>6</v>
      </c>
      <c r="AG540" s="140">
        <v>0</v>
      </c>
      <c r="AH540" s="9">
        <v>0</v>
      </c>
      <c r="AI540" s="10" t="s">
        <v>126</v>
      </c>
      <c r="AJ540" s="10">
        <f>FAR[[#This Row],[Reporting date]]-FAR[[#This Row],[Take-On Date '[dd-mm-yy']]]</f>
        <v>294</v>
      </c>
      <c r="AK540" s="29">
        <f>FAR[[#This Row],[Years utilised in Days ]]/365</f>
        <v>0.80547945205479454</v>
      </c>
      <c r="AL540" s="12">
        <v>5.1945205479452055</v>
      </c>
      <c r="AM540" s="10">
        <v>0</v>
      </c>
      <c r="AN540" s="12">
        <f>FAR[[#This Row],[Opening RUL]]+FAR[[#This Row],[RUL Adjustment]]</f>
        <v>5.1945205479452055</v>
      </c>
      <c r="AO540" s="12">
        <f>FAR[[#This Row],[EUL]]-FAR[[#This Row],[Years utilised in Years]]</f>
        <v>5.1945205479452055</v>
      </c>
      <c r="AP540" s="12" t="s">
        <v>1054</v>
      </c>
      <c r="AQ540" s="139"/>
      <c r="AR540" s="10" t="s">
        <v>127</v>
      </c>
      <c r="AS540" s="13">
        <v>29000</v>
      </c>
      <c r="AT540" s="13"/>
      <c r="AU540" s="13"/>
      <c r="AV540" s="13"/>
      <c r="AW540" s="13"/>
      <c r="AX540" s="13">
        <v>29000</v>
      </c>
      <c r="AY540" s="226">
        <v>25106.849315068492</v>
      </c>
      <c r="AZ540" s="13">
        <v>0</v>
      </c>
      <c r="BA540" s="13"/>
      <c r="BB540" s="13"/>
      <c r="BC540" s="13">
        <v>-3893.1506849315069</v>
      </c>
      <c r="BD540" s="13"/>
      <c r="BE540" s="13" t="s">
        <v>114</v>
      </c>
      <c r="BF540" s="29"/>
      <c r="BG540" s="13"/>
      <c r="BH540" s="13">
        <f>-FAR[[#This Row],[Carrying value (opening balance)]]/FAR[[#This Row],[Opening RUL 30 June 2026]]</f>
        <v>-4833.333333333333</v>
      </c>
      <c r="BI540" s="13">
        <f>FAR[[#This Row],[Depreciation YTD]]/12</f>
        <v>-402.77777777777777</v>
      </c>
      <c r="BJ540" s="13"/>
      <c r="BK540" s="13" t="s">
        <v>116</v>
      </c>
      <c r="BL540" s="13">
        <v>0</v>
      </c>
      <c r="BM540" s="13">
        <f>FAR[[#This Row],[Accumulated depreciation (Opening balance)]]+FAR[[#This Row],[Depreciation YTD]]+FAR[[#This Row],[Derecognitions (acc dep) '[+']]]</f>
        <v>-8726.4840182648404</v>
      </c>
      <c r="BN540" s="13"/>
      <c r="BO540" s="13"/>
      <c r="BP540" s="13"/>
      <c r="BQ540" s="13"/>
      <c r="BR540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40" s="13">
        <f>FAR[[#This Row],[Cost Price (closing balance)]]+FAR[[#This Row],[Accumulated depreciation (Closing balance)]]+FAR[[#This Row],[Accumulated impairments (Closing balance)]]</f>
        <v>20273.51598173516</v>
      </c>
      <c r="BT540" s="13"/>
      <c r="BU540" s="13"/>
      <c r="BV540" s="13" t="s">
        <v>1133</v>
      </c>
      <c r="BW540" s="10"/>
      <c r="BX540" s="9"/>
      <c r="BY540" s="10"/>
      <c r="BZ540"/>
      <c r="CA540"/>
      <c r="CB540" s="34"/>
      <c r="CC540" s="34"/>
      <c r="CD540" s="34"/>
      <c r="CE540" s="141">
        <f>FAR[[#This Row],[Additions capitalised (@actual cost)]]/FAR[[#This Row],[EUL]]</f>
        <v>0</v>
      </c>
    </row>
    <row r="541" spans="1:83">
      <c r="A541" s="35" t="s">
        <v>1155</v>
      </c>
      <c r="B541" s="9" t="s">
        <v>1169</v>
      </c>
      <c r="C541" s="9" t="s">
        <v>54</v>
      </c>
      <c r="D541" s="10" t="s">
        <v>1</v>
      </c>
      <c r="E541" s="9" t="s">
        <v>115</v>
      </c>
      <c r="F541" s="36" t="s">
        <v>99</v>
      </c>
      <c r="G541" s="9" t="s">
        <v>100</v>
      </c>
      <c r="H541" s="3" t="s">
        <v>103</v>
      </c>
      <c r="I541" s="9" t="s">
        <v>100</v>
      </c>
      <c r="J541" s="36" t="s">
        <v>101</v>
      </c>
      <c r="K541" s="10" t="s">
        <v>559</v>
      </c>
      <c r="L541" s="10" t="s">
        <v>559</v>
      </c>
      <c r="M541" s="9" t="s">
        <v>100</v>
      </c>
      <c r="N541" s="10" t="s">
        <v>1158</v>
      </c>
      <c r="O541" s="9" t="s">
        <v>100</v>
      </c>
      <c r="P541" s="10"/>
      <c r="Q541" s="10" t="s">
        <v>1158</v>
      </c>
      <c r="R541" s="10" t="s">
        <v>119</v>
      </c>
      <c r="S541" s="10" t="s">
        <v>130</v>
      </c>
      <c r="T541" s="10" t="s">
        <v>120</v>
      </c>
      <c r="U541" s="10" t="s">
        <v>101</v>
      </c>
      <c r="V541" s="10" t="s">
        <v>121</v>
      </c>
      <c r="W541" s="10" t="s">
        <v>122</v>
      </c>
      <c r="X541" s="10" t="s">
        <v>123</v>
      </c>
      <c r="Y541" s="29">
        <v>1</v>
      </c>
      <c r="Z541" s="138" t="s">
        <v>1153</v>
      </c>
      <c r="AA541" s="138">
        <v>45453</v>
      </c>
      <c r="AB541" s="9" t="s">
        <v>114</v>
      </c>
      <c r="AC541" s="9" t="s">
        <v>124</v>
      </c>
      <c r="AD541" s="15">
        <v>45747</v>
      </c>
      <c r="AE541" s="39" t="s">
        <v>125</v>
      </c>
      <c r="AF541" s="177">
        <v>6</v>
      </c>
      <c r="AG541" s="140">
        <v>0</v>
      </c>
      <c r="AH541" s="9">
        <v>0</v>
      </c>
      <c r="AI541" s="10" t="s">
        <v>126</v>
      </c>
      <c r="AJ541" s="10">
        <f>FAR[[#This Row],[Reporting date]]-FAR[[#This Row],[Take-On Date '[dd-mm-yy']]]</f>
        <v>294</v>
      </c>
      <c r="AK541" s="29">
        <f>FAR[[#This Row],[Years utilised in Days ]]/365</f>
        <v>0.80547945205479454</v>
      </c>
      <c r="AL541" s="12">
        <v>5.1945205479452055</v>
      </c>
      <c r="AM541" s="10">
        <v>0</v>
      </c>
      <c r="AN541" s="12">
        <f>FAR[[#This Row],[Opening RUL]]+FAR[[#This Row],[RUL Adjustment]]</f>
        <v>5.1945205479452055</v>
      </c>
      <c r="AO541" s="12">
        <f>FAR[[#This Row],[EUL]]-FAR[[#This Row],[Years utilised in Years]]</f>
        <v>5.1945205479452055</v>
      </c>
      <c r="AP541" s="12" t="s">
        <v>1054</v>
      </c>
      <c r="AQ541" s="139"/>
      <c r="AR541" s="10" t="s">
        <v>127</v>
      </c>
      <c r="AS541" s="13">
        <v>52000</v>
      </c>
      <c r="AT541" s="13"/>
      <c r="AU541" s="13"/>
      <c r="AV541" s="13">
        <v>0</v>
      </c>
      <c r="AW541" s="13"/>
      <c r="AX541" s="13">
        <v>52000</v>
      </c>
      <c r="AY541" s="226">
        <v>8900</v>
      </c>
      <c r="AZ541" s="13"/>
      <c r="BA541" s="13"/>
      <c r="BB541" s="13"/>
      <c r="BC541" s="226">
        <v>-6980.821917808219</v>
      </c>
      <c r="BD541" s="13"/>
      <c r="BE541" s="13" t="s">
        <v>114</v>
      </c>
      <c r="BF541" s="29"/>
      <c r="BG541" s="13"/>
      <c r="BH541" s="13">
        <f>-FAR[[#This Row],[Carrying value (opening balance)]]/FAR[[#This Row],[Opening RUL 30 June 2026]]</f>
        <v>-1713.3438818565401</v>
      </c>
      <c r="BI541" s="13">
        <f>FAR[[#This Row],[Depreciation YTD]]/12</f>
        <v>-142.77865682137835</v>
      </c>
      <c r="BJ541" s="13"/>
      <c r="BK541" s="13" t="s">
        <v>116</v>
      </c>
      <c r="BL541" s="13">
        <v>0</v>
      </c>
      <c r="BM541" s="13">
        <f>FAR[[#This Row],[Accumulated depreciation (Opening balance)]]+FAR[[#This Row],[Depreciation YTD]]+FAR[[#This Row],[Derecognitions (acc dep) '[+']]]</f>
        <v>-8694.1657996647591</v>
      </c>
      <c r="BN541" s="13">
        <v>-36119.178082191778</v>
      </c>
      <c r="BO541" s="13">
        <v>0</v>
      </c>
      <c r="BP541" s="13"/>
      <c r="BQ541" s="13"/>
      <c r="BR541" s="13">
        <v>-36119.178082191778</v>
      </c>
      <c r="BS541" s="13">
        <f>FAR[[#This Row],[Cost Price (closing balance)]]+FAR[[#This Row],[Accumulated depreciation (Closing balance)]]+FAR[[#This Row],[Accumulated impairments (Closing balance)]]</f>
        <v>7186.6561181434663</v>
      </c>
      <c r="BT541" s="13">
        <f>FAR[[#This Row],[Accumulated depreciation (Opening balance)]]</f>
        <v>-6980.821917808219</v>
      </c>
      <c r="BU541" s="13"/>
      <c r="BV541" s="13"/>
      <c r="BW541" s="10"/>
      <c r="BX541" s="9"/>
      <c r="BY541" s="10"/>
      <c r="BZ541" t="s">
        <v>1171</v>
      </c>
      <c r="CA541"/>
      <c r="CB541" s="34"/>
      <c r="CC541" s="34"/>
      <c r="CD541" s="34"/>
      <c r="CE541" s="141">
        <f>FAR[[#This Row],[Additions capitalised (@actual cost)]]/FAR[[#This Row],[EUL]]</f>
        <v>0</v>
      </c>
    </row>
    <row r="542" spans="1:83">
      <c r="A542" s="35">
        <v>1976</v>
      </c>
      <c r="B542" s="213">
        <v>2</v>
      </c>
      <c r="C542" s="9" t="s">
        <v>54</v>
      </c>
      <c r="D542" s="10" t="s">
        <v>1</v>
      </c>
      <c r="E542" s="9" t="s">
        <v>115</v>
      </c>
      <c r="F542" s="36" t="s">
        <v>99</v>
      </c>
      <c r="G542" s="9" t="s">
        <v>100</v>
      </c>
      <c r="H542" s="3" t="s">
        <v>103</v>
      </c>
      <c r="I542" s="9" t="s">
        <v>100</v>
      </c>
      <c r="J542" s="36" t="s">
        <v>101</v>
      </c>
      <c r="K542" s="10" t="s">
        <v>559</v>
      </c>
      <c r="L542" s="10" t="s">
        <v>559</v>
      </c>
      <c r="M542" s="9" t="s">
        <v>100</v>
      </c>
      <c r="N542" s="10" t="s">
        <v>1161</v>
      </c>
      <c r="O542" s="9" t="s">
        <v>100</v>
      </c>
      <c r="P542" s="10"/>
      <c r="Q542" s="10" t="s">
        <v>1161</v>
      </c>
      <c r="R542" s="10" t="s">
        <v>119</v>
      </c>
      <c r="S542" s="10" t="s">
        <v>130</v>
      </c>
      <c r="T542" s="10" t="s">
        <v>120</v>
      </c>
      <c r="U542" s="10" t="s">
        <v>101</v>
      </c>
      <c r="V542" s="10" t="s">
        <v>121</v>
      </c>
      <c r="W542" s="10" t="s">
        <v>122</v>
      </c>
      <c r="X542" s="10" t="s">
        <v>123</v>
      </c>
      <c r="Y542" s="29">
        <v>1</v>
      </c>
      <c r="Z542" s="138" t="s">
        <v>1153</v>
      </c>
      <c r="AA542" s="138">
        <v>45453</v>
      </c>
      <c r="AB542" s="9" t="s">
        <v>114</v>
      </c>
      <c r="AC542" s="9" t="s">
        <v>124</v>
      </c>
      <c r="AD542" s="15">
        <v>45747</v>
      </c>
      <c r="AE542" s="39" t="s">
        <v>125</v>
      </c>
      <c r="AF542" s="177">
        <v>6</v>
      </c>
      <c r="AG542" s="140">
        <v>0</v>
      </c>
      <c r="AH542" s="9">
        <v>0</v>
      </c>
      <c r="AI542" s="10" t="s">
        <v>126</v>
      </c>
      <c r="AJ542" s="10">
        <f>FAR[[#This Row],[Reporting date]]-FAR[[#This Row],[Take-On Date '[dd-mm-yy']]]</f>
        <v>294</v>
      </c>
      <c r="AK542" s="29">
        <f>FAR[[#This Row],[Years utilised in Days ]]/365</f>
        <v>0.80547945205479454</v>
      </c>
      <c r="AL542" s="12">
        <v>5.1945205479452055</v>
      </c>
      <c r="AM542" s="10">
        <v>0</v>
      </c>
      <c r="AN542" s="12">
        <f>FAR[[#This Row],[Opening RUL]]+FAR[[#This Row],[RUL Adjustment]]</f>
        <v>5.1945205479452055</v>
      </c>
      <c r="AO542" s="12">
        <f>FAR[[#This Row],[EUL]]-FAR[[#This Row],[Years utilised in Years]]</f>
        <v>5.1945205479452055</v>
      </c>
      <c r="AP542" s="12" t="s">
        <v>1054</v>
      </c>
      <c r="AQ542" s="139"/>
      <c r="AR542" s="10" t="s">
        <v>127</v>
      </c>
      <c r="AS542" s="13">
        <v>52000</v>
      </c>
      <c r="AT542" s="13"/>
      <c r="AU542" s="13"/>
      <c r="AV542" s="13">
        <v>0</v>
      </c>
      <c r="AW542" s="13"/>
      <c r="AX542" s="13">
        <v>52000</v>
      </c>
      <c r="AY542" s="226">
        <v>45019.178082191778</v>
      </c>
      <c r="AZ542" s="13"/>
      <c r="BA542" s="13"/>
      <c r="BB542" s="13"/>
      <c r="BC542" s="226">
        <v>-6980.821917808219</v>
      </c>
      <c r="BD542" s="13"/>
      <c r="BE542" s="13" t="s">
        <v>114</v>
      </c>
      <c r="BF542" s="29"/>
      <c r="BG542" s="13"/>
      <c r="BH542" s="13">
        <f>-FAR[[#This Row],[Carrying value (opening balance)]]/FAR[[#This Row],[Opening RUL 30 June 2026]]</f>
        <v>-8666.6666666666661</v>
      </c>
      <c r="BI542" s="13">
        <f>FAR[[#This Row],[Depreciation YTD]]/12</f>
        <v>-722.22222222222217</v>
      </c>
      <c r="BJ542" s="13"/>
      <c r="BK542" s="13" t="s">
        <v>116</v>
      </c>
      <c r="BL542" s="13"/>
      <c r="BM542" s="13">
        <f>FAR[[#This Row],[Accumulated depreciation (Opening balance)]]+FAR[[#This Row],[Depreciation YTD]]+FAR[[#This Row],[Derecognitions (acc dep) '[+']]]</f>
        <v>-15647.488584474886</v>
      </c>
      <c r="BN542" s="13"/>
      <c r="BO542" s="13"/>
      <c r="BP542" s="13"/>
      <c r="BQ542" s="13"/>
      <c r="BR542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42" s="13">
        <f>FAR[[#This Row],[Cost Price (closing balance)]]+FAR[[#This Row],[Accumulated depreciation (Closing balance)]]+FAR[[#This Row],[Accumulated impairments (Closing balance)]]</f>
        <v>36352.511415525114</v>
      </c>
      <c r="BT542" s="13">
        <f>FAR[[#This Row],[Accumulated depreciation (Opening balance)]]</f>
        <v>-6980.821917808219</v>
      </c>
      <c r="BU542" s="13"/>
      <c r="BV542" s="13"/>
      <c r="BW542" s="10"/>
      <c r="BX542" s="9"/>
      <c r="BY542" s="10"/>
      <c r="BZ542"/>
      <c r="CA542"/>
      <c r="CB542" s="34"/>
      <c r="CC542" s="34"/>
      <c r="CD542" s="34"/>
      <c r="CE542" s="141">
        <f>FAR[[#This Row],[Additions capitalised (@actual cost)]]/FAR[[#This Row],[EUL]]</f>
        <v>0</v>
      </c>
    </row>
    <row r="543" spans="1:83">
      <c r="A543" s="35" t="s">
        <v>1156</v>
      </c>
      <c r="B543" s="9" t="s">
        <v>1170</v>
      </c>
      <c r="C543" s="9" t="s">
        <v>54</v>
      </c>
      <c r="D543" s="10" t="s">
        <v>1</v>
      </c>
      <c r="E543" s="9" t="s">
        <v>115</v>
      </c>
      <c r="F543" s="36" t="s">
        <v>99</v>
      </c>
      <c r="G543" s="9" t="s">
        <v>100</v>
      </c>
      <c r="H543" s="3" t="s">
        <v>103</v>
      </c>
      <c r="I543" s="9" t="s">
        <v>100</v>
      </c>
      <c r="J543" s="36" t="s">
        <v>101</v>
      </c>
      <c r="K543" s="10" t="s">
        <v>559</v>
      </c>
      <c r="L543" s="10" t="s">
        <v>559</v>
      </c>
      <c r="M543" s="9" t="s">
        <v>100</v>
      </c>
      <c r="N543" s="10" t="s">
        <v>1162</v>
      </c>
      <c r="O543" s="9" t="s">
        <v>100</v>
      </c>
      <c r="P543" s="10"/>
      <c r="Q543" s="10" t="s">
        <v>1162</v>
      </c>
      <c r="R543" s="10" t="s">
        <v>119</v>
      </c>
      <c r="S543" s="10" t="s">
        <v>130</v>
      </c>
      <c r="T543" s="10" t="s">
        <v>120</v>
      </c>
      <c r="U543" s="10" t="s">
        <v>101</v>
      </c>
      <c r="V543" s="10" t="s">
        <v>121</v>
      </c>
      <c r="W543" s="10" t="s">
        <v>122</v>
      </c>
      <c r="X543" s="10" t="s">
        <v>123</v>
      </c>
      <c r="Y543" s="29">
        <v>1</v>
      </c>
      <c r="Z543" s="138" t="s">
        <v>1153</v>
      </c>
      <c r="AA543" s="138">
        <v>45453</v>
      </c>
      <c r="AB543" s="9" t="s">
        <v>114</v>
      </c>
      <c r="AC543" s="9" t="s">
        <v>124</v>
      </c>
      <c r="AD543" s="15">
        <v>45747</v>
      </c>
      <c r="AE543" s="39" t="s">
        <v>125</v>
      </c>
      <c r="AF543" s="177">
        <v>6</v>
      </c>
      <c r="AG543" s="140">
        <v>0</v>
      </c>
      <c r="AH543" s="9">
        <v>0</v>
      </c>
      <c r="AI543" s="10" t="s">
        <v>126</v>
      </c>
      <c r="AJ543" s="10">
        <f>FAR[[#This Row],[Reporting date]]-FAR[[#This Row],[Take-On Date '[dd-mm-yy']]]</f>
        <v>294</v>
      </c>
      <c r="AK543" s="29">
        <f>FAR[[#This Row],[Years utilised in Days ]]/365</f>
        <v>0.80547945205479454</v>
      </c>
      <c r="AL543" s="12">
        <v>5.1945205479452055</v>
      </c>
      <c r="AM543" s="10">
        <v>0</v>
      </c>
      <c r="AN543" s="12">
        <f>FAR[[#This Row],[Opening RUL]]+FAR[[#This Row],[RUL Adjustment]]</f>
        <v>5.1945205479452055</v>
      </c>
      <c r="AO543" s="12">
        <f>FAR[[#This Row],[EUL]]-FAR[[#This Row],[Years utilised in Years]]</f>
        <v>5.1945205479452055</v>
      </c>
      <c r="AP543" s="12" t="s">
        <v>1054</v>
      </c>
      <c r="AQ543" s="139"/>
      <c r="AR543" s="10" t="s">
        <v>127</v>
      </c>
      <c r="AS543" s="13">
        <v>52000</v>
      </c>
      <c r="AT543" s="13"/>
      <c r="AU543" s="13"/>
      <c r="AV543" s="13">
        <v>0</v>
      </c>
      <c r="AW543" s="13"/>
      <c r="AX543" s="13">
        <v>52000</v>
      </c>
      <c r="AY543" s="226">
        <v>45019.178082191778</v>
      </c>
      <c r="AZ543" s="13"/>
      <c r="BA543" s="13"/>
      <c r="BB543" s="13"/>
      <c r="BC543" s="226">
        <v>-6980.821917808219</v>
      </c>
      <c r="BD543" s="13"/>
      <c r="BE543" s="13" t="s">
        <v>114</v>
      </c>
      <c r="BF543" s="29"/>
      <c r="BG543" s="13"/>
      <c r="BH543" s="13">
        <f>-FAR[[#This Row],[Carrying value (opening balance)]]/FAR[[#This Row],[Opening RUL 30 June 2026]]</f>
        <v>-8666.6666666666661</v>
      </c>
      <c r="BI543" s="13">
        <f>FAR[[#This Row],[Depreciation YTD]]/12</f>
        <v>-722.22222222222217</v>
      </c>
      <c r="BJ543" s="13"/>
      <c r="BK543" s="13" t="s">
        <v>116</v>
      </c>
      <c r="BL543" s="13"/>
      <c r="BM543" s="13">
        <f>FAR[[#This Row],[Accumulated depreciation (Opening balance)]]+FAR[[#This Row],[Depreciation YTD]]+FAR[[#This Row],[Derecognitions (acc dep) '[+']]]</f>
        <v>-15647.488584474886</v>
      </c>
      <c r="BN543" s="13"/>
      <c r="BO543" s="13"/>
      <c r="BP543" s="13"/>
      <c r="BQ543" s="13"/>
      <c r="BR543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43" s="13">
        <f>FAR[[#This Row],[Cost Price (closing balance)]]+FAR[[#This Row],[Accumulated depreciation (Closing balance)]]+FAR[[#This Row],[Accumulated impairments (Closing balance)]]</f>
        <v>36352.511415525114</v>
      </c>
      <c r="BT543" s="13">
        <f>FAR[[#This Row],[Accumulated depreciation (Opening balance)]]</f>
        <v>-6980.821917808219</v>
      </c>
      <c r="BU543" s="13"/>
      <c r="BV543" s="13"/>
      <c r="BW543" s="10"/>
      <c r="BX543" s="9"/>
      <c r="BY543" s="10"/>
      <c r="BZ543"/>
      <c r="CA543"/>
      <c r="CB543" s="34"/>
      <c r="CC543" s="34"/>
      <c r="CD543" s="34"/>
      <c r="CE543" s="141">
        <f>FAR[[#This Row],[Additions capitalised (@actual cost)]]/FAR[[#This Row],[EUL]]</f>
        <v>0</v>
      </c>
    </row>
    <row r="544" spans="1:83">
      <c r="A544" s="35"/>
      <c r="B544" s="9" t="s">
        <v>918</v>
      </c>
      <c r="C544" s="9" t="s">
        <v>54</v>
      </c>
      <c r="D544" s="10" t="s">
        <v>1</v>
      </c>
      <c r="E544" s="9" t="s">
        <v>115</v>
      </c>
      <c r="F544" s="36" t="s">
        <v>99</v>
      </c>
      <c r="G544" s="9" t="s">
        <v>100</v>
      </c>
      <c r="H544" s="3" t="s">
        <v>103</v>
      </c>
      <c r="I544" s="9" t="s">
        <v>100</v>
      </c>
      <c r="J544" s="36" t="s">
        <v>101</v>
      </c>
      <c r="K544" s="10" t="s">
        <v>559</v>
      </c>
      <c r="L544" s="10" t="s">
        <v>559</v>
      </c>
      <c r="M544" s="9" t="s">
        <v>100</v>
      </c>
      <c r="N544" s="10" t="s">
        <v>1173</v>
      </c>
      <c r="O544" s="9" t="s">
        <v>100</v>
      </c>
      <c r="P544" s="10"/>
      <c r="Q544" s="10" t="s">
        <v>1173</v>
      </c>
      <c r="R544" s="10" t="s">
        <v>119</v>
      </c>
      <c r="S544" s="10" t="s">
        <v>130</v>
      </c>
      <c r="T544" s="10" t="s">
        <v>120</v>
      </c>
      <c r="U544" s="10" t="s">
        <v>101</v>
      </c>
      <c r="V544" s="10" t="s">
        <v>121</v>
      </c>
      <c r="W544" s="10" t="s">
        <v>122</v>
      </c>
      <c r="X544" s="10" t="s">
        <v>123</v>
      </c>
      <c r="Y544" s="29">
        <v>1</v>
      </c>
      <c r="Z544" s="138" t="s">
        <v>1151</v>
      </c>
      <c r="AA544" s="138">
        <v>45531</v>
      </c>
      <c r="AB544" s="9" t="s">
        <v>114</v>
      </c>
      <c r="AC544" s="9" t="s">
        <v>124</v>
      </c>
      <c r="AD544" s="15">
        <v>45747</v>
      </c>
      <c r="AE544" s="39" t="s">
        <v>125</v>
      </c>
      <c r="AF544" s="177">
        <v>6</v>
      </c>
      <c r="AG544" s="140">
        <v>0</v>
      </c>
      <c r="AH544" s="9">
        <v>0</v>
      </c>
      <c r="AI544" s="10" t="s">
        <v>126</v>
      </c>
      <c r="AJ544" s="10">
        <f>FAR[[#This Row],[Reporting date]]-FAR[[#This Row],[Take-On Date '[dd-mm-yy']]]</f>
        <v>216</v>
      </c>
      <c r="AK544" s="29">
        <f>FAR[[#This Row],[Years utilised in Days ]]/365</f>
        <v>0.59178082191780823</v>
      </c>
      <c r="AL544" s="12">
        <v>5.4082191780821915</v>
      </c>
      <c r="AM544" s="10">
        <v>0</v>
      </c>
      <c r="AN544" s="12">
        <f>FAR[[#This Row],[Opening RUL]]+FAR[[#This Row],[RUL Adjustment]]</f>
        <v>5.4082191780821915</v>
      </c>
      <c r="AO544" s="12">
        <f>FAR[[#This Row],[EUL]]-FAR[[#This Row],[Years utilised in Years]]</f>
        <v>5.4082191780821915</v>
      </c>
      <c r="AP544" s="12" t="s">
        <v>1054</v>
      </c>
      <c r="AQ544" s="139"/>
      <c r="AR544" s="10" t="s">
        <v>127</v>
      </c>
      <c r="AS544" s="13">
        <v>4633070.9064999996</v>
      </c>
      <c r="AT544" s="13"/>
      <c r="AU544" s="13"/>
      <c r="AV544" s="13">
        <v>0</v>
      </c>
      <c r="AW544" s="13"/>
      <c r="AX544" s="13">
        <v>4633070.9064999996</v>
      </c>
      <c r="AY544" s="226">
        <v>4176110.4883246571</v>
      </c>
      <c r="AZ544" s="13"/>
      <c r="BA544" s="13"/>
      <c r="BB544" s="13"/>
      <c r="BC544" s="226">
        <v>-456960.41817534243</v>
      </c>
      <c r="BD544" s="13"/>
      <c r="BE544" s="13" t="s">
        <v>114</v>
      </c>
      <c r="BF544" s="29"/>
      <c r="BG544" s="13"/>
      <c r="BH544" s="13">
        <f>-FAR[[#This Row],[Carrying value (opening balance)]]/FAR[[#This Row],[Opening RUL 30 June 2026]]</f>
        <v>-772178.48441666667</v>
      </c>
      <c r="BI544" s="13">
        <f>FAR[[#This Row],[Depreciation YTD]]/12</f>
        <v>-64348.207034722225</v>
      </c>
      <c r="BJ544" s="13"/>
      <c r="BK544" s="13" t="s">
        <v>116</v>
      </c>
      <c r="BL544" s="13"/>
      <c r="BM544" s="13">
        <f>FAR[[#This Row],[Accumulated depreciation (Opening balance)]]+FAR[[#This Row],[Depreciation YTD]]+FAR[[#This Row],[Derecognitions (acc dep) '[+']]]</f>
        <v>-1229138.9025920092</v>
      </c>
      <c r="BN544" s="13"/>
      <c r="BO544" s="13"/>
      <c r="BP544" s="13"/>
      <c r="BQ544" s="13"/>
      <c r="BR544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44" s="13">
        <f>FAR[[#This Row],[Cost Price (closing balance)]]+FAR[[#This Row],[Accumulated depreciation (Closing balance)]]+FAR[[#This Row],[Accumulated impairments (Closing balance)]]</f>
        <v>3403932.0039079906</v>
      </c>
      <c r="BT544" s="13">
        <f>FAR[[#This Row],[Accumulated depreciation (Opening balance)]]</f>
        <v>-456960.41817534243</v>
      </c>
      <c r="BU544" s="13"/>
      <c r="BV544" s="13"/>
      <c r="BW544" s="10"/>
      <c r="BX544" s="9"/>
      <c r="BY544" s="10"/>
      <c r="BZ544"/>
      <c r="CA544"/>
      <c r="CB544" s="34"/>
      <c r="CC544" s="34"/>
      <c r="CD544" s="34"/>
      <c r="CE544" s="141">
        <f>FAR[[#This Row],[Additions capitalised (@actual cost)]]/FAR[[#This Row],[EUL]]</f>
        <v>0</v>
      </c>
    </row>
    <row r="545" spans="1:83">
      <c r="A545" s="35" t="s">
        <v>1157</v>
      </c>
      <c r="B545" s="9" t="s">
        <v>1170</v>
      </c>
      <c r="C545" s="9" t="s">
        <v>54</v>
      </c>
      <c r="D545" s="10" t="s">
        <v>1</v>
      </c>
      <c r="E545" s="9" t="s">
        <v>115</v>
      </c>
      <c r="F545" s="36" t="s">
        <v>99</v>
      </c>
      <c r="G545" s="9" t="s">
        <v>100</v>
      </c>
      <c r="H545" s="3" t="s">
        <v>103</v>
      </c>
      <c r="I545" s="9" t="s">
        <v>100</v>
      </c>
      <c r="J545" s="36" t="s">
        <v>101</v>
      </c>
      <c r="K545" s="10" t="s">
        <v>559</v>
      </c>
      <c r="L545" s="10" t="s">
        <v>559</v>
      </c>
      <c r="M545" s="9" t="s">
        <v>100</v>
      </c>
      <c r="N545" s="10" t="s">
        <v>1163</v>
      </c>
      <c r="O545" s="9" t="s">
        <v>100</v>
      </c>
      <c r="P545" s="10"/>
      <c r="Q545" s="10" t="s">
        <v>1163</v>
      </c>
      <c r="R545" s="10" t="s">
        <v>119</v>
      </c>
      <c r="S545" s="10" t="s">
        <v>130</v>
      </c>
      <c r="T545" s="10" t="s">
        <v>120</v>
      </c>
      <c r="U545" s="10" t="s">
        <v>101</v>
      </c>
      <c r="V545" s="10" t="s">
        <v>121</v>
      </c>
      <c r="W545" s="10" t="s">
        <v>122</v>
      </c>
      <c r="X545" s="10" t="s">
        <v>123</v>
      </c>
      <c r="Y545" s="29">
        <v>1</v>
      </c>
      <c r="Z545" s="138" t="s">
        <v>1153</v>
      </c>
      <c r="AA545" s="138">
        <v>45453</v>
      </c>
      <c r="AB545" s="9" t="s">
        <v>114</v>
      </c>
      <c r="AC545" s="9" t="s">
        <v>124</v>
      </c>
      <c r="AD545" s="15">
        <v>45747</v>
      </c>
      <c r="AE545" s="39" t="s">
        <v>125</v>
      </c>
      <c r="AF545" s="177">
        <v>6</v>
      </c>
      <c r="AG545" s="140">
        <v>0</v>
      </c>
      <c r="AH545" s="9">
        <v>0</v>
      </c>
      <c r="AI545" s="10" t="s">
        <v>126</v>
      </c>
      <c r="AJ545" s="10">
        <f>FAR[[#This Row],[Reporting date]]-FAR[[#This Row],[Take-On Date '[dd-mm-yy']]]</f>
        <v>294</v>
      </c>
      <c r="AK545" s="29">
        <f>FAR[[#This Row],[Years utilised in Days ]]/365</f>
        <v>0.80547945205479454</v>
      </c>
      <c r="AL545" s="12">
        <v>5.1945205479452055</v>
      </c>
      <c r="AM545" s="10">
        <v>0</v>
      </c>
      <c r="AN545" s="12">
        <f>FAR[[#This Row],[Opening RUL]]+FAR[[#This Row],[RUL Adjustment]]</f>
        <v>5.1945205479452055</v>
      </c>
      <c r="AO545" s="12">
        <f>FAR[[#This Row],[EUL]]-FAR[[#This Row],[Years utilised in Years]]</f>
        <v>5.1945205479452055</v>
      </c>
      <c r="AP545" s="12" t="s">
        <v>1054</v>
      </c>
      <c r="AQ545" s="139"/>
      <c r="AR545" s="10" t="s">
        <v>127</v>
      </c>
      <c r="AS545" s="13">
        <v>52000</v>
      </c>
      <c r="AT545" s="13"/>
      <c r="AU545" s="13"/>
      <c r="AV545" s="13">
        <v>0</v>
      </c>
      <c r="AW545" s="13"/>
      <c r="AX545" s="13">
        <v>52000</v>
      </c>
      <c r="AY545" s="226">
        <v>45019.178082191778</v>
      </c>
      <c r="AZ545" s="13"/>
      <c r="BA545" s="13"/>
      <c r="BB545" s="13"/>
      <c r="BC545" s="226">
        <v>-6980.821917808219</v>
      </c>
      <c r="BD545" s="13"/>
      <c r="BE545" s="13" t="s">
        <v>114</v>
      </c>
      <c r="BF545" s="29"/>
      <c r="BG545" s="13"/>
      <c r="BH545" s="13">
        <f>-FAR[[#This Row],[Carrying value (opening balance)]]/FAR[[#This Row],[Opening RUL 30 June 2026]]</f>
        <v>-8666.6666666666661</v>
      </c>
      <c r="BI545" s="13">
        <f>FAR[[#This Row],[Depreciation YTD]]/12</f>
        <v>-722.22222222222217</v>
      </c>
      <c r="BJ545" s="13"/>
      <c r="BK545" s="13" t="s">
        <v>116</v>
      </c>
      <c r="BL545" s="13"/>
      <c r="BM545" s="13">
        <f>FAR[[#This Row],[Accumulated depreciation (Opening balance)]]+FAR[[#This Row],[Depreciation YTD]]+FAR[[#This Row],[Derecognitions (acc dep) '[+']]]</f>
        <v>-15647.488584474886</v>
      </c>
      <c r="BN545" s="13"/>
      <c r="BO545" s="13"/>
      <c r="BP545" s="13"/>
      <c r="BQ545" s="13"/>
      <c r="BR545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45" s="13">
        <f>FAR[[#This Row],[Cost Price (closing balance)]]+FAR[[#This Row],[Accumulated depreciation (Closing balance)]]+FAR[[#This Row],[Accumulated impairments (Closing balance)]]</f>
        <v>36352.511415525114</v>
      </c>
      <c r="BT545" s="13">
        <f>FAR[[#This Row],[Accumulated depreciation (Opening balance)]]</f>
        <v>-6980.821917808219</v>
      </c>
      <c r="BU545" s="13"/>
      <c r="BV545" s="13"/>
      <c r="BW545" s="10"/>
      <c r="BX545" s="9"/>
      <c r="BY545" s="10"/>
      <c r="BZ545"/>
      <c r="CA545"/>
      <c r="CB545" s="34"/>
      <c r="CC545" s="34"/>
      <c r="CD545" s="34"/>
      <c r="CE545" s="141">
        <f>FAR[[#This Row],[Additions capitalised (@actual cost)]]/FAR[[#This Row],[EUL]]</f>
        <v>0</v>
      </c>
    </row>
    <row r="546" spans="1:83">
      <c r="A546" s="35">
        <v>1401</v>
      </c>
      <c r="B546" s="9" t="s">
        <v>929</v>
      </c>
      <c r="C546" s="9" t="s">
        <v>54</v>
      </c>
      <c r="D546" s="10" t="s">
        <v>1</v>
      </c>
      <c r="E546" s="9" t="s">
        <v>115</v>
      </c>
      <c r="F546" s="36" t="s">
        <v>99</v>
      </c>
      <c r="G546" s="9" t="s">
        <v>100</v>
      </c>
      <c r="H546" s="3" t="s">
        <v>103</v>
      </c>
      <c r="I546" s="9" t="s">
        <v>100</v>
      </c>
      <c r="J546" s="36" t="s">
        <v>101</v>
      </c>
      <c r="K546" s="10" t="s">
        <v>559</v>
      </c>
      <c r="L546" s="10" t="s">
        <v>559</v>
      </c>
      <c r="M546" s="9" t="s">
        <v>100</v>
      </c>
      <c r="N546" s="10" t="s">
        <v>1164</v>
      </c>
      <c r="O546" s="9" t="s">
        <v>100</v>
      </c>
      <c r="P546" s="10"/>
      <c r="Q546" s="10" t="s">
        <v>1164</v>
      </c>
      <c r="R546" s="10" t="s">
        <v>119</v>
      </c>
      <c r="S546" s="10" t="s">
        <v>130</v>
      </c>
      <c r="T546" s="10" t="s">
        <v>120</v>
      </c>
      <c r="U546" s="10" t="s">
        <v>101</v>
      </c>
      <c r="V546" s="10" t="s">
        <v>121</v>
      </c>
      <c r="W546" s="10" t="s">
        <v>122</v>
      </c>
      <c r="X546" s="10" t="s">
        <v>123</v>
      </c>
      <c r="Y546" s="29">
        <v>1</v>
      </c>
      <c r="Z546" s="138" t="s">
        <v>762</v>
      </c>
      <c r="AA546" s="138">
        <v>44573</v>
      </c>
      <c r="AB546" s="9" t="s">
        <v>114</v>
      </c>
      <c r="AC546" s="9" t="s">
        <v>124</v>
      </c>
      <c r="AD546" s="15">
        <v>44651</v>
      </c>
      <c r="AE546" s="39" t="s">
        <v>125</v>
      </c>
      <c r="AF546" s="177">
        <v>3</v>
      </c>
      <c r="AG546" s="140">
        <v>0</v>
      </c>
      <c r="AH546" s="9">
        <v>0</v>
      </c>
      <c r="AI546" s="10" t="s">
        <v>126</v>
      </c>
      <c r="AJ546" s="10"/>
      <c r="AK546" s="29"/>
      <c r="AL546" s="12">
        <v>2.536986301369863</v>
      </c>
      <c r="AM546" s="10"/>
      <c r="AN546" s="12">
        <v>3.536986301369863</v>
      </c>
      <c r="AO546" s="12">
        <v>2.536986301369863</v>
      </c>
      <c r="AP546" s="12" t="s">
        <v>1050</v>
      </c>
      <c r="AQ546" s="139"/>
      <c r="AR546" s="10" t="s">
        <v>127</v>
      </c>
      <c r="AS546" s="13">
        <v>30630.25</v>
      </c>
      <c r="AT546" s="13"/>
      <c r="AU546" s="13">
        <v>0</v>
      </c>
      <c r="AV546" s="13">
        <v>0</v>
      </c>
      <c r="AW546" s="13">
        <v>0</v>
      </c>
      <c r="AX546" s="13">
        <v>30630.25</v>
      </c>
      <c r="AY546" s="13">
        <v>12362.14958087073</v>
      </c>
      <c r="AZ546" s="13"/>
      <c r="BA546" s="13"/>
      <c r="BB546" s="13"/>
      <c r="BC546" s="13">
        <v>-18268.10041912927</v>
      </c>
      <c r="BD546" s="13"/>
      <c r="BE546" s="13" t="s">
        <v>114</v>
      </c>
      <c r="BF546" s="29"/>
      <c r="BG546" s="13"/>
      <c r="BH546" s="13">
        <f>-FAR[[#This Row],[Carrying value (opening balance)]]/FAR[[#This Row],[Opening RUL 30 June 2026]]</f>
        <v>-3495.1081309200745</v>
      </c>
      <c r="BI546" s="13">
        <f>FAR[[#This Row],[Depreciation YTD]]/12</f>
        <v>-291.25901091000623</v>
      </c>
      <c r="BJ546" s="13"/>
      <c r="BK546" s="13" t="s">
        <v>116</v>
      </c>
      <c r="BL546" s="13"/>
      <c r="BM546" s="13">
        <f>FAR[[#This Row],[Accumulated depreciation (Opening balance)]]+FAR[[#This Row],[Depreciation YTD]]+FAR[[#This Row],[Derecognitions (acc dep) '[+']]]</f>
        <v>-21763.208550049345</v>
      </c>
      <c r="BN546" s="13"/>
      <c r="BO546" s="13"/>
      <c r="BP546" s="13"/>
      <c r="BQ546" s="13"/>
      <c r="BR546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46" s="13">
        <f>FAR[[#This Row],[Cost Price (closing balance)]]+FAR[[#This Row],[Accumulated depreciation (Closing balance)]]+FAR[[#This Row],[Accumulated impairments (Closing balance)]]</f>
        <v>8867.0414499506551</v>
      </c>
      <c r="BT546" s="13"/>
      <c r="BU546" s="13"/>
      <c r="BV546" s="13"/>
      <c r="BW546" s="10"/>
      <c r="BX546" s="9"/>
      <c r="BY546" s="10"/>
      <c r="BZ546" t="s">
        <v>1165</v>
      </c>
      <c r="CA546"/>
      <c r="CB546" s="34"/>
      <c r="CC546" s="34"/>
      <c r="CD546" s="34"/>
      <c r="CE546" s="141">
        <f>FAR[[#This Row],[Additions capitalised (@actual cost)]]/FAR[[#This Row],[EUL]]</f>
        <v>0</v>
      </c>
    </row>
    <row r="547" spans="1:83">
      <c r="A547" s="9" t="s">
        <v>1174</v>
      </c>
      <c r="B547" s="9">
        <v>0</v>
      </c>
      <c r="C547" s="9" t="s">
        <v>54</v>
      </c>
      <c r="D547" s="10" t="s">
        <v>1</v>
      </c>
      <c r="E547" s="9" t="s">
        <v>115</v>
      </c>
      <c r="F547" s="36" t="s">
        <v>99</v>
      </c>
      <c r="G547" s="9" t="s">
        <v>100</v>
      </c>
      <c r="H547" s="3" t="s">
        <v>600</v>
      </c>
      <c r="I547" s="9" t="s">
        <v>100</v>
      </c>
      <c r="J547" s="36" t="s">
        <v>101</v>
      </c>
      <c r="K547" s="10" t="s">
        <v>559</v>
      </c>
      <c r="L547" s="10" t="s">
        <v>559</v>
      </c>
      <c r="M547" s="9" t="s">
        <v>100</v>
      </c>
      <c r="N547" s="10" t="s">
        <v>1176</v>
      </c>
      <c r="O547" s="9" t="s">
        <v>100</v>
      </c>
      <c r="P547" s="10"/>
      <c r="Q547" s="10" t="s">
        <v>1176</v>
      </c>
      <c r="R547" s="10" t="s">
        <v>119</v>
      </c>
      <c r="S547" s="10" t="s">
        <v>130</v>
      </c>
      <c r="T547" s="10" t="s">
        <v>120</v>
      </c>
      <c r="U547" s="10" t="s">
        <v>101</v>
      </c>
      <c r="V547" s="10" t="s">
        <v>121</v>
      </c>
      <c r="W547" s="10" t="s">
        <v>122</v>
      </c>
      <c r="X547" s="10" t="s">
        <v>123</v>
      </c>
      <c r="Y547" s="29">
        <v>1</v>
      </c>
      <c r="Z547" s="138" t="s">
        <v>1175</v>
      </c>
      <c r="AA547" s="138">
        <v>45444</v>
      </c>
      <c r="AB547" s="9" t="s">
        <v>114</v>
      </c>
      <c r="AC547" s="9" t="s">
        <v>124</v>
      </c>
      <c r="AD547" s="15">
        <v>45747</v>
      </c>
      <c r="AE547" s="39" t="s">
        <v>125</v>
      </c>
      <c r="AF547" s="177">
        <v>5</v>
      </c>
      <c r="AG547" s="140">
        <v>0</v>
      </c>
      <c r="AH547" s="9">
        <v>0</v>
      </c>
      <c r="AI547" s="10" t="s">
        <v>126</v>
      </c>
      <c r="AJ547" s="10">
        <f>FAR[[#This Row],[Reporting date]]-FAR[[#This Row],[Take-On Date '[dd-mm-yy']]]</f>
        <v>303</v>
      </c>
      <c r="AK547" s="29">
        <f>FAR[[#This Row],[Years utilised in Days ]]/365</f>
        <v>0.83013698630136989</v>
      </c>
      <c r="AL547" s="12">
        <v>4.1698630136986301</v>
      </c>
      <c r="AM547" s="10">
        <v>0</v>
      </c>
      <c r="AN547" s="12">
        <f>FAR[[#This Row],[Opening RUL]]+FAR[[#This Row],[RUL Adjustment]]</f>
        <v>4.1698630136986301</v>
      </c>
      <c r="AO547" s="12">
        <f>FAR[[#This Row],[EUL]]-FAR[[#This Row],[Years utilised in Years]]</f>
        <v>4.1698630136986301</v>
      </c>
      <c r="AP547" s="12" t="s">
        <v>1054</v>
      </c>
      <c r="AQ547" s="139"/>
      <c r="AR547" s="10" t="s">
        <v>127</v>
      </c>
      <c r="AS547" s="13">
        <v>4729676.1274999995</v>
      </c>
      <c r="AT547" s="13"/>
      <c r="AU547" s="13"/>
      <c r="AV547" s="13">
        <v>0</v>
      </c>
      <c r="AW547" s="13"/>
      <c r="AX547" s="13">
        <v>4729676.1274999995</v>
      </c>
      <c r="AY547" s="13">
        <v>3944420.3101671226</v>
      </c>
      <c r="AZ547" s="13"/>
      <c r="BA547" s="13"/>
      <c r="BB547" s="13"/>
      <c r="BC547" s="13">
        <v>-785255.81733287673</v>
      </c>
      <c r="BD547" s="13"/>
      <c r="BE547" s="13" t="s">
        <v>114</v>
      </c>
      <c r="BF547" s="29"/>
      <c r="BG547" s="13"/>
      <c r="BH547" s="13">
        <f>-FAR[[#This Row],[Carrying value (opening balance)]]/FAR[[#This Row],[Opening RUL 30 June 2026]]</f>
        <v>-945935.22549999983</v>
      </c>
      <c r="BI547" s="13">
        <f>FAR[[#This Row],[Depreciation YTD]]/12</f>
        <v>-78827.935458333319</v>
      </c>
      <c r="BJ547" s="13"/>
      <c r="BK547" s="13" t="s">
        <v>116</v>
      </c>
      <c r="BL547" s="13">
        <v>0</v>
      </c>
      <c r="BM547" s="13">
        <f>FAR[[#This Row],[Accumulated depreciation (Opening balance)]]+FAR[[#This Row],[Depreciation YTD]]+FAR[[#This Row],[Derecognitions (acc dep) '[+']]]</f>
        <v>-1731191.0428328766</v>
      </c>
      <c r="BN547" s="13"/>
      <c r="BO547" s="13"/>
      <c r="BP547" s="13"/>
      <c r="BQ547" s="13"/>
      <c r="BR547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47" s="13">
        <f>FAR[[#This Row],[Cost Price (closing balance)]]+FAR[[#This Row],[Accumulated depreciation (Closing balance)]]+FAR[[#This Row],[Accumulated impairments (Closing balance)]]</f>
        <v>2998485.0846671229</v>
      </c>
      <c r="BT547" s="13">
        <f>FAR[[#This Row],[Accumulated depreciation (Opening balance)]]</f>
        <v>-785255.81733287673</v>
      </c>
      <c r="BU547" s="13"/>
      <c r="BV547" s="13"/>
      <c r="BW547" s="10"/>
      <c r="BX547" s="9"/>
      <c r="BY547" s="10"/>
      <c r="BZ547"/>
      <c r="CA547" s="10"/>
      <c r="CB547" s="10"/>
      <c r="CC547" s="10"/>
      <c r="CD547" s="10"/>
      <c r="CE547" s="132">
        <f>FAR[[#This Row],[Additions capitalised (@actual cost)]]/FAR[[#This Row],[EUL]]</f>
        <v>0</v>
      </c>
    </row>
    <row r="548" spans="1:83">
      <c r="A548" s="9"/>
      <c r="B548" s="9" t="s">
        <v>1181</v>
      </c>
      <c r="C548" s="9" t="s">
        <v>54</v>
      </c>
      <c r="D548" s="10" t="s">
        <v>1</v>
      </c>
      <c r="E548" s="9" t="s">
        <v>115</v>
      </c>
      <c r="F548" s="36" t="s">
        <v>99</v>
      </c>
      <c r="G548" s="9" t="s">
        <v>100</v>
      </c>
      <c r="H548" s="3" t="s">
        <v>103</v>
      </c>
      <c r="I548" s="9" t="s">
        <v>100</v>
      </c>
      <c r="J548" s="36" t="s">
        <v>101</v>
      </c>
      <c r="K548" s="10" t="s">
        <v>559</v>
      </c>
      <c r="L548" s="10" t="s">
        <v>559</v>
      </c>
      <c r="M548" s="9" t="s">
        <v>100</v>
      </c>
      <c r="N548" s="10" t="s">
        <v>1182</v>
      </c>
      <c r="O548" s="9" t="s">
        <v>100</v>
      </c>
      <c r="P548" s="10"/>
      <c r="Q548" s="10" t="s">
        <v>1182</v>
      </c>
      <c r="R548" s="10" t="s">
        <v>119</v>
      </c>
      <c r="S548" s="10" t="s">
        <v>130</v>
      </c>
      <c r="T548" s="10" t="s">
        <v>120</v>
      </c>
      <c r="U548" s="10" t="s">
        <v>101</v>
      </c>
      <c r="V548" s="10" t="s">
        <v>121</v>
      </c>
      <c r="W548" s="10" t="s">
        <v>122</v>
      </c>
      <c r="X548" s="10" t="s">
        <v>123</v>
      </c>
      <c r="Y548" s="29">
        <v>1</v>
      </c>
      <c r="Z548" s="244">
        <v>45811</v>
      </c>
      <c r="AA548" s="244">
        <v>45811</v>
      </c>
      <c r="AB548" s="9" t="s">
        <v>114</v>
      </c>
      <c r="AC548" s="9" t="s">
        <v>124</v>
      </c>
      <c r="AD548" s="15">
        <v>45747</v>
      </c>
      <c r="AE548" s="39" t="s">
        <v>125</v>
      </c>
      <c r="AF548" s="177">
        <v>5</v>
      </c>
      <c r="AG548" s="140">
        <v>0</v>
      </c>
      <c r="AH548" s="9">
        <v>0</v>
      </c>
      <c r="AI548" s="10" t="s">
        <v>126</v>
      </c>
      <c r="AJ548" s="10">
        <f>-(FAR[[#This Row],[Reporting date]]-FAR[[#This Row],[Take-On Date '[dd-mm-yy']]])</f>
        <v>64</v>
      </c>
      <c r="AK548" s="29">
        <f>FAR[[#This Row],[Years utilised in Days ]]/365</f>
        <v>0.17534246575342466</v>
      </c>
      <c r="AL548" s="12"/>
      <c r="AM548" s="10"/>
      <c r="AN548" s="12">
        <f>FAR[[#This Row],[Opening RUL]]+FAR[[#This Row],[RUL Adjustment]]</f>
        <v>0</v>
      </c>
      <c r="AO548" s="12">
        <f>FAR[[#This Row],[EUL]]-FAR[[#This Row],[Years utilised in Years]]</f>
        <v>4.8246575342465752</v>
      </c>
      <c r="AP548" s="12" t="s">
        <v>1054</v>
      </c>
      <c r="AQ548" s="139"/>
      <c r="AR548" s="10" t="s">
        <v>127</v>
      </c>
      <c r="AS548" s="13"/>
      <c r="AT548" s="13">
        <v>10728.35</v>
      </c>
      <c r="AU548" s="13"/>
      <c r="AV548" s="13"/>
      <c r="AW548" s="13"/>
      <c r="AX548" s="13">
        <f>FAR[[#This Row],[Additions capitalised (@actual cost)]]</f>
        <v>10728.35</v>
      </c>
      <c r="AY548" s="13">
        <v>0</v>
      </c>
      <c r="AZ548" s="13"/>
      <c r="BA548" s="13"/>
      <c r="BB548" s="13"/>
      <c r="BC548" s="13">
        <v>0</v>
      </c>
      <c r="BD548" s="13"/>
      <c r="BE548" s="13" t="s">
        <v>114</v>
      </c>
      <c r="BF548" s="29"/>
      <c r="BG548" s="13"/>
      <c r="BH548" s="13">
        <f>-(FAR[[#This Row],[Years utilised in Years]]/FAR[[#This Row],[EUL]])*FAR[[#This Row],[Additions capitalised (@actual cost)]]</f>
        <v>-376.22706849315068</v>
      </c>
      <c r="BI548" s="13">
        <f>FAR[[#This Row],[Depreciation YTD]]/12</f>
        <v>-31.352255707762556</v>
      </c>
      <c r="BJ548" s="13"/>
      <c r="BK548" s="13" t="s">
        <v>116</v>
      </c>
      <c r="BL548" s="13"/>
      <c r="BM548" s="13">
        <f>FAR[[#This Row],[Accumulated depreciation (Opening balance)]]+FAR[[#This Row],[Depreciation YTD]]+FAR[[#This Row],[Derecognitions (acc dep) '[+']]]</f>
        <v>-376.22706849315068</v>
      </c>
      <c r="BN548" s="13"/>
      <c r="BO548" s="13"/>
      <c r="BP548" s="13"/>
      <c r="BQ548" s="13"/>
      <c r="BR548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48" s="13">
        <f>FAR[[#This Row],[Cost Price (closing balance)]]+FAR[[#This Row],[Accumulated depreciation (Closing balance)]]+FAR[[#This Row],[Accumulated impairments (Closing balance)]]</f>
        <v>10352.12293150685</v>
      </c>
      <c r="BT548" s="13">
        <f>FAR[[#This Row],[Accumulated depreciation (Opening balance)]]</f>
        <v>0</v>
      </c>
      <c r="BU548" s="13"/>
      <c r="BV548" s="13"/>
      <c r="BW548" s="10"/>
      <c r="BX548" s="9"/>
      <c r="BY548" s="10"/>
      <c r="CA548" s="10"/>
      <c r="CB548" s="10"/>
      <c r="CC548" s="10"/>
      <c r="CD548" s="10"/>
      <c r="CE548" s="132"/>
    </row>
    <row r="549" spans="1:83">
      <c r="A549" s="9"/>
      <c r="B549" s="9"/>
      <c r="C549" s="9"/>
      <c r="D549" s="10"/>
      <c r="E549" s="9"/>
      <c r="F549" s="36"/>
      <c r="G549" s="9"/>
      <c r="I549" s="9"/>
      <c r="J549" s="36"/>
      <c r="K549" s="10"/>
      <c r="L549" s="10"/>
      <c r="M549" s="9"/>
      <c r="N549" s="10"/>
      <c r="O549" s="9"/>
      <c r="P549" s="10"/>
      <c r="Q549" s="10"/>
      <c r="R549" s="10"/>
      <c r="S549" s="10"/>
      <c r="T549" s="10"/>
      <c r="U549" s="10"/>
      <c r="V549" s="10"/>
      <c r="W549" s="10"/>
      <c r="X549" s="10"/>
      <c r="Y549" s="29"/>
      <c r="Z549" s="244"/>
      <c r="AA549" s="138"/>
      <c r="AB549" s="9"/>
      <c r="AC549" s="9"/>
      <c r="AD549" s="15"/>
      <c r="AE549" s="39"/>
      <c r="AF549" s="245"/>
      <c r="AG549" s="246"/>
      <c r="AH549" s="247"/>
      <c r="AI549" s="10"/>
      <c r="AJ549" s="10"/>
      <c r="AK549" s="29"/>
      <c r="AL549" s="12"/>
      <c r="AM549" s="10"/>
      <c r="AN549" s="12"/>
      <c r="AO549" s="12"/>
      <c r="AP549" s="12"/>
      <c r="AQ549" s="139"/>
      <c r="AR549" s="10"/>
      <c r="AS549" s="13"/>
      <c r="AT549" s="13"/>
      <c r="AU549" s="13"/>
      <c r="AV549" s="13"/>
      <c r="AW549" s="13"/>
      <c r="AX549" s="13"/>
      <c r="AY549" s="13"/>
      <c r="AZ549" s="13"/>
      <c r="BA549" s="13"/>
      <c r="BB549" s="13"/>
      <c r="BC549" s="13"/>
      <c r="BD549" s="13"/>
      <c r="BE549" s="13"/>
      <c r="BF549" s="29"/>
      <c r="BG549" s="13"/>
      <c r="BH549" s="13"/>
      <c r="BI549" s="13">
        <f>FAR[[#This Row],[Depreciation YTD]]/12</f>
        <v>0</v>
      </c>
      <c r="BJ549" s="13"/>
      <c r="BK549" s="13"/>
      <c r="BL549" s="13"/>
      <c r="BM549" s="13"/>
      <c r="BN549" s="13"/>
      <c r="BO549" s="13"/>
      <c r="BP549" s="13"/>
      <c r="BQ549" s="13"/>
      <c r="BR549" s="13">
        <f>FAR[[#This Row],[Accumulated impairments (Opening balance)]]+FAR[[#This Row],[Revaluation adjustment: Opening Accumulative impairments]]+FAR[[#This Row],[Annual impairment]]+FAR[[#This Row],[Derecognition Impairment balance '[+']]]</f>
        <v>0</v>
      </c>
      <c r="BS549" s="13"/>
      <c r="BT549" s="13">
        <f>FAR[[#This Row],[Accumulated depreciation (Opening balance)]]</f>
        <v>0</v>
      </c>
      <c r="BU549" s="13"/>
      <c r="BV549" s="13"/>
      <c r="BW549" s="10"/>
      <c r="BX549" s="9"/>
      <c r="BY549" s="10"/>
      <c r="CA549" s="10"/>
      <c r="CB549" s="10"/>
      <c r="CC549" s="10"/>
      <c r="CD549" s="10"/>
      <c r="CE549" s="132"/>
    </row>
    <row r="550" spans="1:83">
      <c r="A550" s="9"/>
      <c r="B550" s="9"/>
      <c r="C550" s="9"/>
      <c r="D550" s="10"/>
      <c r="E550" s="9"/>
      <c r="F550" s="10"/>
      <c r="G550" s="9"/>
      <c r="H550" s="10"/>
      <c r="I550" s="9"/>
      <c r="J550" s="10"/>
      <c r="K550" s="10"/>
      <c r="L550" s="10"/>
      <c r="M550" s="9"/>
      <c r="N550" s="10"/>
      <c r="O550" s="9"/>
      <c r="P550" s="10"/>
      <c r="Q550" s="10"/>
      <c r="R550" s="10"/>
      <c r="S550" s="10"/>
      <c r="T550" s="10"/>
      <c r="U550" s="10"/>
      <c r="V550" s="10"/>
      <c r="W550" s="10"/>
      <c r="X550" s="10"/>
      <c r="Y550" s="130"/>
      <c r="Z550" s="130"/>
      <c r="AA550" s="15"/>
      <c r="AB550" s="9"/>
      <c r="AC550" s="9"/>
      <c r="AD550" s="131"/>
      <c r="AE550" s="39"/>
      <c r="AF550" s="9"/>
      <c r="AG550" s="9"/>
      <c r="AH550" s="9"/>
      <c r="AI550" s="10"/>
      <c r="AJ550" s="10"/>
      <c r="AK550" s="10"/>
      <c r="AL550" s="10"/>
      <c r="AM550" s="10"/>
      <c r="AN550" s="12"/>
      <c r="AO550" s="12"/>
      <c r="AP550" s="12"/>
      <c r="AQ550" s="12"/>
      <c r="AR550" s="10"/>
      <c r="AS550" s="132">
        <f>SUBTOTAL(109,FAR[Cost Price (opening balance)])</f>
        <v>15313382.977384584</v>
      </c>
      <c r="AT550" s="132">
        <f>SUBTOTAL(109,FAR[Additions capitalised (@actual cost)])</f>
        <v>10728.35</v>
      </c>
      <c r="AU550" s="132">
        <f>SUBTOTAL(109,FAR[Revaluation Adjustment Cost])</f>
        <v>0</v>
      </c>
      <c r="AV550" s="132">
        <f>SUBTOTAL(109,FAR[Derecognitions '[-']])</f>
        <v>0</v>
      </c>
      <c r="AW550" s="132">
        <f>SUBTOTAL(109,FAR[Derecognition costs])</f>
        <v>0</v>
      </c>
      <c r="AX550" s="132">
        <f>SUBTOTAL(109,FAR[Cost Price (closing balance)])</f>
        <v>15324111.327384584</v>
      </c>
      <c r="AY550" s="132">
        <f>SUBTOTAL(109,FAR[Carrying value (opening balance)])</f>
        <v>10097492.13658266</v>
      </c>
      <c r="AZ550" s="132">
        <f>SUBTOTAL(109,FAR[Revaluation Value])</f>
        <v>0</v>
      </c>
      <c r="BA550" s="132">
        <f>SUBTOTAL(109,FAR[Provision on rehabilitation cost])</f>
        <v>0</v>
      </c>
      <c r="BB550" s="132">
        <f>SUBTOTAL(109,FAR[Fairvalue adjustment])</f>
        <v>0</v>
      </c>
      <c r="BC550" s="132">
        <f>SUBTOTAL(109,FAR[Accumulated depreciation (Opening balance)])</f>
        <v>-5149694.7784689432</v>
      </c>
      <c r="BD550" s="132">
        <f>SUBTOTAL(109,FAR[Revaluation adjustment Opening Accumulative depreciation])</f>
        <v>0</v>
      </c>
      <c r="BE550" s="132">
        <f>SUBTOTAL(109,FAR[Change in Accounting Policy])</f>
        <v>0</v>
      </c>
      <c r="BF550" s="132">
        <f>SUBTOTAL(109,FAR[Error Comments])</f>
        <v>0</v>
      </c>
      <c r="BG550" s="132">
        <f>SUBTOTAL(109,FAR[Correction of RUL errors])</f>
        <v>0</v>
      </c>
      <c r="BH550" s="132">
        <f>SUBTOTAL(109,FAR[Depreciation YTD])</f>
        <v>-2491789.8600770822</v>
      </c>
      <c r="BI550" s="132">
        <f>SUBTOTAL(109,FAR[Monthly depreciation])</f>
        <v>-207649.15500642356</v>
      </c>
      <c r="BJ550" s="132">
        <f>SUBTOTAL(109,FAR[Change in useful life effect])</f>
        <v>0</v>
      </c>
      <c r="BK550" s="132">
        <f>SUBTOTAL(109,FAR[Depreciation Method])</f>
        <v>0</v>
      </c>
      <c r="BL550" s="132">
        <f>SUBTOTAL(109,FAR[Derecognitions (acc dep) '[+']])</f>
        <v>0</v>
      </c>
      <c r="BM550" s="132">
        <f>SUBTOTAL(109,FAR[Accumulated depreciation (Closing balance)])</f>
        <v>-7641484.6385460291</v>
      </c>
      <c r="BN550" s="132">
        <f>SUBTOTAL(109,FAR[Accumulated impairments (Opening balance)])</f>
        <v>-66196.062332980902</v>
      </c>
      <c r="BO550" s="132">
        <f>SUBTOTAL(109,FAR[Revaluation adjustment: Opening Accumulative impairments])</f>
        <v>0</v>
      </c>
      <c r="BP550" s="132">
        <f>SUBTOTAL(109,FAR[Annual impairment])</f>
        <v>0</v>
      </c>
      <c r="BQ550" s="132">
        <f>SUBTOTAL(109,FAR[Derecognition Impairment balance '[+']])</f>
        <v>0</v>
      </c>
      <c r="BR550" s="132">
        <f>SUBTOTAL(109,FAR[Accumulated impairments (Closing balance)])</f>
        <v>-66196.062332980902</v>
      </c>
      <c r="BS550" s="132">
        <f>SUBTOTAL(109,FAR[Carrying value (closing balance)])</f>
        <v>7616430.6265055817</v>
      </c>
      <c r="BT550" s="132"/>
      <c r="BU550" s="132"/>
      <c r="BV550" s="132"/>
      <c r="BW550" s="10"/>
      <c r="BX550" s="10"/>
      <c r="BY550" s="10"/>
      <c r="BZ550" s="10"/>
      <c r="CA550" s="10"/>
      <c r="CB550" s="10"/>
      <c r="CC550" s="10"/>
      <c r="CD550" s="10"/>
      <c r="CE550" s="10"/>
    </row>
    <row r="551" spans="1:83">
      <c r="A551" s="35"/>
      <c r="B551" s="9"/>
    </row>
    <row r="552" spans="1:83">
      <c r="A552" s="35"/>
      <c r="B552" s="9"/>
    </row>
    <row r="553" spans="1:83">
      <c r="A553" s="35"/>
      <c r="B553" s="9"/>
    </row>
    <row r="554" spans="1:83">
      <c r="A554" s="35"/>
      <c r="B554" s="9"/>
      <c r="BN554" s="28"/>
    </row>
    <row r="555" spans="1:83">
      <c r="BN555" s="28"/>
    </row>
  </sheetData>
  <sheetProtection formatCells="0" formatColumns="0" formatRows="0" insertColumns="0" insertRows="0" insertHyperlinks="0" deleteColumns="0" deleteRows="0" sort="0" pivotTables="0"/>
  <mergeCells count="10">
    <mergeCell ref="G1:J3"/>
    <mergeCell ref="D1:F1"/>
    <mergeCell ref="C2:C3"/>
    <mergeCell ref="D2:F2"/>
    <mergeCell ref="D3:F3"/>
    <mergeCell ref="AS5:AX5"/>
    <mergeCell ref="AY5:BE5"/>
    <mergeCell ref="BF5:BL5"/>
    <mergeCell ref="BM5:BS5"/>
    <mergeCell ref="D4:F4"/>
  </mergeCells>
  <phoneticPr fontId="29" type="noConversion"/>
  <conditionalFormatting sqref="A366:A383 A10:A164 A166:A359 A361:A364">
    <cfRule type="duplicateValues" dxfId="81" priority="378"/>
  </conditionalFormatting>
  <conditionalFormatting sqref="A463:A497">
    <cfRule type="duplicateValues" dxfId="80" priority="363"/>
  </conditionalFormatting>
  <conditionalFormatting sqref="M6:R6 X6">
    <cfRule type="containsErrors" dxfId="79" priority="37">
      <formula>ISERROR(M6)</formula>
    </cfRule>
  </conditionalFormatting>
  <conditionalFormatting sqref="S6:T6 V6">
    <cfRule type="containsErrors" dxfId="78" priority="36">
      <formula>ISERROR(S6)</formula>
    </cfRule>
  </conditionalFormatting>
  <conditionalFormatting sqref="U6">
    <cfRule type="containsErrors" dxfId="77" priority="34">
      <formula>ISERROR(U6)</formula>
    </cfRule>
  </conditionalFormatting>
  <conditionalFormatting sqref="W6">
    <cfRule type="containsErrors" dxfId="76" priority="31">
      <formula>ISERROR(W6)</formula>
    </cfRule>
  </conditionalFormatting>
  <dataValidations count="9">
    <dataValidation type="list" allowBlank="1" showInputMessage="1" showErrorMessage="1" sqref="D2:F2 B1 R547:T548 AB547:AC548 R7:T545 AB7:AC545 BW7:BW497 U384:U545 T549:U549 AD551:AD1048576 T551:U1048576 AD549" xr:uid="{E2C505B5-024C-4289-BDA0-52AD38BD683B}">
      <formula1>#REF!</formula1>
    </dataValidation>
    <dataValidation type="list" allowBlank="1" showInputMessage="1" showErrorMessage="1" sqref="P6 D1 Q396:Q399 Q401:Q429 Q498:Q501 Q523 Q516:Q521 Q504:Q509 Q439:Q462 G396:G545 G549 Q551:Q1048576 G551:G1048576 Q549" xr:uid="{C532C66F-A779-4E36-851E-209325091DF4}">
      <formula1>OFFSET(#REF!,MATCH(B1,#REF!,0)-1,1,COUNTIF(#REF!,B1),1)</formula1>
    </dataValidation>
    <dataValidation type="list" allowBlank="1" showInputMessage="1" showErrorMessage="1" sqref="D3:F3" xr:uid="{7C616588-81C6-41D7-AF22-5725322B2881}">
      <formula1>OFFSET(#REF!,MATCH($D$2,#REF!,0)-1,1,COUNTIF(#REF!,$D$2),1)</formula1>
    </dataValidation>
    <dataValidation type="list" allowBlank="1" showInputMessage="1" showErrorMessage="1" sqref="AX384:AX395 AS498:AS544 AS384:AS395 AS551:AS1048576 AS548:AS549 AR7:AR549" xr:uid="{5EB24B8F-0C15-419C-9D89-AF760DAA8346}">
      <formula1>General_List_F</formula1>
    </dataValidation>
    <dataValidation type="list" allowBlank="1" showInputMessage="1" showErrorMessage="1" sqref="Q400 R396:R545 R551:R1048576 R549" xr:uid="{7D06EC8D-3820-48F0-842E-A23B4281E89F}">
      <formula1>OFFSET(#REF!,MATCH(P396,#REF!,0)-1,1,COUNTIF(#REF!,P396),1)</formula1>
    </dataValidation>
    <dataValidation type="list" allowBlank="1" showInputMessage="1" showErrorMessage="1" sqref="E396:E545 E551:E1048576 E549" xr:uid="{897D0544-850A-477C-B9DE-AAA32B1F79F5}">
      <formula1>OFFSET(#REF!,4,0,COUNTA(#REF!)-1,1)</formula1>
    </dataValidation>
    <dataValidation type="list" allowBlank="1" showInputMessage="1" showErrorMessage="1" sqref="O396:O545 O551:O1048576 O549" xr:uid="{0BF7E0B5-FA78-4667-8B56-872F1EA1D093}">
      <formula1>OFFSET(#REF!,MATCH(#REF!,#REF!,0)-1,1,COUNTIF(#REF!,#REF!),1)</formula1>
    </dataValidation>
    <dataValidation type="list" allowBlank="1" showInputMessage="1" showErrorMessage="1" error="Fix The Hierarchy selection" sqref="I396:I545 I551:I1048576 I549" xr:uid="{45EB5983-DE6E-4A74-955C-6C5873F8B1F0}">
      <formula1>OFFSET(#REF!,MATCH(G396,#REF!,0)-1,1,COUNTIF(#REF!,G396),1)</formula1>
    </dataValidation>
    <dataValidation type="list" allowBlank="1" showInputMessage="1" showErrorMessage="1" sqref="D7:D549" xr:uid="{499AE9FB-EA80-4A4F-B969-8C5B2FF8E625}">
      <formula1>OFFSET(#REF!,3,0,COUNTA(#REF!)-1,1)</formula1>
    </dataValidation>
  </dataValidations>
  <pageMargins left="0.7" right="0.7" top="0.75" bottom="0.75" header="0.3" footer="0.3"/>
  <pageSetup paperSize="9" orientation="portrait" r:id="rId1"/>
  <legacyDrawing r:id="rId2"/>
  <tableParts count="1"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14847-C60F-4022-9480-43BE12B9422D}">
  <dimension ref="A2:CD9"/>
  <sheetViews>
    <sheetView topLeftCell="BE1" zoomScale="70" zoomScaleNormal="70" workbookViewId="0">
      <selection activeCell="BH9" sqref="BH9"/>
    </sheetView>
  </sheetViews>
  <sheetFormatPr defaultRowHeight="14.5"/>
  <cols>
    <col min="1" max="1" width="22.08984375" customWidth="1"/>
    <col min="2" max="2" width="10.36328125" customWidth="1"/>
    <col min="4" max="4" width="24.81640625" customWidth="1"/>
    <col min="6" max="6" width="22.453125" customWidth="1"/>
    <col min="8" max="8" width="26.26953125" customWidth="1"/>
    <col min="10" max="10" width="20.36328125" customWidth="1"/>
    <col min="11" max="11" width="27.54296875" customWidth="1"/>
    <col min="12" max="12" width="11.81640625" customWidth="1"/>
    <col min="14" max="14" width="21.90625" customWidth="1"/>
    <col min="16" max="16" width="21.08984375" customWidth="1"/>
    <col min="17" max="17" width="29" customWidth="1"/>
    <col min="18" max="18" width="23.90625" customWidth="1"/>
    <col min="19" max="19" width="11.54296875" customWidth="1"/>
    <col min="20" max="20" width="19.36328125" customWidth="1"/>
    <col min="21" max="21" width="14.81640625" customWidth="1"/>
    <col min="22" max="22" width="21.7265625" customWidth="1"/>
    <col min="23" max="23" width="19.90625" customWidth="1"/>
    <col min="24" max="24" width="16.36328125" customWidth="1"/>
    <col min="26" max="26" width="14.54296875" customWidth="1"/>
    <col min="27" max="27" width="23.54296875" customWidth="1"/>
    <col min="28" max="28" width="9.6328125" customWidth="1"/>
    <col min="29" max="29" width="15.1796875" customWidth="1"/>
    <col min="30" max="30" width="14.6328125" customWidth="1"/>
    <col min="31" max="31" width="30.08984375" customWidth="1"/>
    <col min="33" max="33" width="11.90625" customWidth="1"/>
    <col min="34" max="34" width="15.08984375" customWidth="1"/>
    <col min="35" max="35" width="35.7265625" customWidth="1"/>
    <col min="36" max="36" width="22.08984375" customWidth="1"/>
    <col min="37" max="37" width="22.1796875" customWidth="1"/>
    <col min="38" max="38" width="14.81640625" customWidth="1"/>
    <col min="39" max="39" width="17" customWidth="1"/>
    <col min="40" max="40" width="25.7265625" customWidth="1"/>
    <col min="41" max="41" width="23.7265625" customWidth="1"/>
    <col min="42" max="42" width="15.7265625" customWidth="1"/>
    <col min="43" max="43" width="11.7265625" customWidth="1"/>
    <col min="44" max="44" width="16.90625" customWidth="1"/>
    <col min="45" max="45" width="27.26953125" customWidth="1"/>
    <col min="46" max="46" width="32.81640625" customWidth="1"/>
    <col min="47" max="47" width="23.6328125" customWidth="1"/>
    <col min="48" max="48" width="17.1796875" customWidth="1"/>
    <col min="49" max="49" width="18.7265625" customWidth="1"/>
    <col min="50" max="50" width="26.6328125" customWidth="1"/>
    <col min="51" max="51" width="30.81640625" customWidth="1"/>
    <col min="52" max="52" width="16" customWidth="1"/>
    <col min="53" max="53" width="28.81640625" customWidth="1"/>
    <col min="54" max="54" width="20.81640625" customWidth="1"/>
    <col min="55" max="55" width="40.26953125" customWidth="1"/>
    <col min="56" max="56" width="44.54296875" customWidth="1"/>
    <col min="57" max="57" width="26.26953125" customWidth="1"/>
    <col min="58" max="58" width="16.90625" customWidth="1"/>
    <col min="59" max="59" width="22.36328125" customWidth="1"/>
    <col min="60" max="60" width="18.08984375" customWidth="1"/>
    <col min="61" max="61" width="26" customWidth="1"/>
    <col min="62" max="62" width="20.36328125" customWidth="1"/>
    <col min="63" max="63" width="25.54296875" customWidth="1"/>
    <col min="64" max="64" width="39.453125" customWidth="1"/>
    <col min="65" max="65" width="40.26953125" customWidth="1"/>
    <col min="66" max="66" width="44.81640625" customWidth="1"/>
    <col min="67" max="67" width="19.1796875" customWidth="1"/>
    <col min="68" max="68" width="32.81640625" customWidth="1"/>
    <col min="69" max="69" width="39.453125" customWidth="1"/>
    <col min="70" max="70" width="30.08984375" customWidth="1"/>
    <col min="71" max="71" width="19.36328125" customWidth="1"/>
    <col min="72" max="72" width="47.90625" customWidth="1"/>
    <col min="73" max="73" width="52.6328125" customWidth="1"/>
    <col min="74" max="74" width="16.6328125" customWidth="1"/>
    <col min="75" max="75" width="13.6328125" customWidth="1"/>
    <col min="76" max="76" width="14.90625" customWidth="1"/>
    <col min="77" max="77" width="32.81640625" customWidth="1"/>
    <col min="81" max="81" width="10.90625" customWidth="1"/>
    <col min="82" max="82" width="9.7265625" customWidth="1"/>
  </cols>
  <sheetData>
    <row r="2" spans="1:82" ht="21">
      <c r="A2" s="194" t="s">
        <v>118</v>
      </c>
      <c r="B2" s="195" t="s">
        <v>153</v>
      </c>
      <c r="C2" s="194" t="s">
        <v>6</v>
      </c>
      <c r="D2" s="195" t="s">
        <v>7</v>
      </c>
      <c r="E2" s="194" t="s">
        <v>8</v>
      </c>
      <c r="F2" s="195" t="s">
        <v>49</v>
      </c>
      <c r="G2" s="194" t="s">
        <v>9</v>
      </c>
      <c r="H2" s="195" t="s">
        <v>50</v>
      </c>
      <c r="I2" s="194" t="s">
        <v>52</v>
      </c>
      <c r="J2" s="195" t="s">
        <v>51</v>
      </c>
      <c r="K2" s="194" t="s">
        <v>10</v>
      </c>
      <c r="L2" s="194" t="s">
        <v>155</v>
      </c>
      <c r="M2" s="194" t="s">
        <v>53</v>
      </c>
      <c r="N2" s="195" t="s">
        <v>12</v>
      </c>
      <c r="O2" s="194" t="s">
        <v>11</v>
      </c>
      <c r="P2" s="195" t="s">
        <v>13</v>
      </c>
      <c r="Q2" s="195" t="s">
        <v>14</v>
      </c>
      <c r="R2" s="194" t="s">
        <v>15</v>
      </c>
      <c r="S2" s="194" t="s">
        <v>16</v>
      </c>
      <c r="T2" s="194" t="s">
        <v>17</v>
      </c>
      <c r="U2" s="194" t="s">
        <v>18</v>
      </c>
      <c r="V2" s="194" t="s">
        <v>19</v>
      </c>
      <c r="W2" s="194" t="s">
        <v>20</v>
      </c>
      <c r="X2" s="194" t="s">
        <v>92</v>
      </c>
      <c r="Y2" s="194" t="s">
        <v>21</v>
      </c>
      <c r="Z2" s="194" t="s">
        <v>157</v>
      </c>
      <c r="AA2" s="194" t="s">
        <v>55</v>
      </c>
      <c r="AB2" s="194" t="s">
        <v>22</v>
      </c>
      <c r="AC2" s="194" t="s">
        <v>23</v>
      </c>
      <c r="AD2" s="194" t="s">
        <v>131</v>
      </c>
      <c r="AE2" s="194" t="s">
        <v>56</v>
      </c>
      <c r="AF2" s="194" t="s">
        <v>24</v>
      </c>
      <c r="AG2" s="194" t="s">
        <v>172</v>
      </c>
      <c r="AH2" s="194" t="s">
        <v>171</v>
      </c>
      <c r="AI2" s="196" t="s">
        <v>25</v>
      </c>
      <c r="AJ2" s="196" t="s">
        <v>158</v>
      </c>
      <c r="AK2" s="196" t="s">
        <v>159</v>
      </c>
      <c r="AL2" s="196" t="s">
        <v>161</v>
      </c>
      <c r="AM2" s="196" t="s">
        <v>162</v>
      </c>
      <c r="AN2" s="197" t="s">
        <v>163</v>
      </c>
      <c r="AO2" s="197" t="s">
        <v>164</v>
      </c>
      <c r="AP2" s="197" t="s">
        <v>166</v>
      </c>
      <c r="AQ2" s="197" t="s">
        <v>165</v>
      </c>
      <c r="AR2" s="194" t="s">
        <v>26</v>
      </c>
      <c r="AS2" s="198" t="s">
        <v>59</v>
      </c>
      <c r="AT2" s="198" t="s">
        <v>27</v>
      </c>
      <c r="AU2" s="199" t="s">
        <v>28</v>
      </c>
      <c r="AV2" s="200" t="s">
        <v>29</v>
      </c>
      <c r="AW2" s="200" t="s">
        <v>30</v>
      </c>
      <c r="AX2" s="201" t="s">
        <v>57</v>
      </c>
      <c r="AY2" s="198" t="s">
        <v>58</v>
      </c>
      <c r="AZ2" s="199" t="s">
        <v>31</v>
      </c>
      <c r="BA2" s="202" t="s">
        <v>32</v>
      </c>
      <c r="BB2" s="202" t="s">
        <v>33</v>
      </c>
      <c r="BC2" s="198" t="s">
        <v>34</v>
      </c>
      <c r="BD2" s="199" t="s">
        <v>35</v>
      </c>
      <c r="BE2" s="200" t="s">
        <v>36</v>
      </c>
      <c r="BF2" s="198" t="s">
        <v>37</v>
      </c>
      <c r="BG2" s="200" t="s">
        <v>38</v>
      </c>
      <c r="BH2" s="198" t="s">
        <v>39</v>
      </c>
      <c r="BI2" s="198" t="s">
        <v>40</v>
      </c>
      <c r="BJ2" s="203" t="s">
        <v>41</v>
      </c>
      <c r="BK2" s="200" t="s">
        <v>60</v>
      </c>
      <c r="BL2" s="198" t="s">
        <v>61</v>
      </c>
      <c r="BM2" s="198" t="s">
        <v>42</v>
      </c>
      <c r="BN2" s="199" t="s">
        <v>43</v>
      </c>
      <c r="BO2" s="203" t="s">
        <v>44</v>
      </c>
      <c r="BP2" s="200" t="s">
        <v>62</v>
      </c>
      <c r="BQ2" s="198" t="s">
        <v>63</v>
      </c>
      <c r="BR2" s="204" t="s">
        <v>64</v>
      </c>
      <c r="BS2" s="200" t="s">
        <v>173</v>
      </c>
      <c r="BT2" s="205" t="s">
        <v>45</v>
      </c>
      <c r="BU2" s="205" t="s">
        <v>46</v>
      </c>
      <c r="BV2" s="206" t="s">
        <v>47</v>
      </c>
      <c r="BW2" s="206" t="s">
        <v>48</v>
      </c>
      <c r="BX2" s="206" t="s">
        <v>154</v>
      </c>
      <c r="BY2" s="206" t="s">
        <v>148</v>
      </c>
      <c r="BZ2" s="206" t="s">
        <v>156</v>
      </c>
      <c r="CA2" s="207" t="s">
        <v>170</v>
      </c>
      <c r="CB2" s="207" t="s">
        <v>169</v>
      </c>
      <c r="CC2" s="207" t="s">
        <v>175</v>
      </c>
      <c r="CD2" s="207" t="s">
        <v>177</v>
      </c>
    </row>
    <row r="3" spans="1:82">
      <c r="A3" s="163" t="s">
        <v>766</v>
      </c>
      <c r="B3" s="163"/>
      <c r="C3" s="163" t="s">
        <v>819</v>
      </c>
      <c r="D3" s="164" t="s">
        <v>820</v>
      </c>
      <c r="E3" s="163" t="s">
        <v>819</v>
      </c>
      <c r="F3" s="165" t="s">
        <v>820</v>
      </c>
      <c r="G3" s="163" t="s">
        <v>821</v>
      </c>
      <c r="H3" s="166" t="s">
        <v>771</v>
      </c>
      <c r="I3" s="163" t="s">
        <v>822</v>
      </c>
      <c r="J3" s="166" t="s">
        <v>771</v>
      </c>
      <c r="K3" s="164" t="s">
        <v>559</v>
      </c>
      <c r="L3" s="164" t="s">
        <v>559</v>
      </c>
      <c r="M3" s="163" t="s">
        <v>822</v>
      </c>
      <c r="N3" s="164" t="s">
        <v>772</v>
      </c>
      <c r="O3" s="163" t="s">
        <v>822</v>
      </c>
      <c r="P3" s="164"/>
      <c r="Q3" s="164" t="s">
        <v>772</v>
      </c>
      <c r="R3" s="164" t="s">
        <v>119</v>
      </c>
      <c r="S3" s="164" t="s">
        <v>130</v>
      </c>
      <c r="T3" s="164" t="s">
        <v>120</v>
      </c>
      <c r="U3" s="164" t="s">
        <v>820</v>
      </c>
      <c r="V3" s="164" t="s">
        <v>121</v>
      </c>
      <c r="W3" s="164" t="s">
        <v>122</v>
      </c>
      <c r="X3" s="164" t="s">
        <v>123</v>
      </c>
      <c r="Y3" s="167">
        <v>1</v>
      </c>
      <c r="Z3" s="168" t="s">
        <v>777</v>
      </c>
      <c r="AA3" s="168">
        <v>39617</v>
      </c>
      <c r="AB3" s="163" t="s">
        <v>114</v>
      </c>
      <c r="AC3" s="163" t="s">
        <v>124</v>
      </c>
      <c r="AD3" s="169">
        <v>44651</v>
      </c>
      <c r="AE3" s="170" t="s">
        <v>125</v>
      </c>
      <c r="AF3" s="163">
        <v>2</v>
      </c>
      <c r="AG3" s="171">
        <v>0</v>
      </c>
      <c r="AH3" s="163">
        <v>0</v>
      </c>
      <c r="AI3" s="164" t="s">
        <v>126</v>
      </c>
      <c r="AJ3" s="164"/>
      <c r="AK3" s="167"/>
      <c r="AL3" s="164">
        <v>1</v>
      </c>
      <c r="AM3" s="164">
        <v>1</v>
      </c>
      <c r="AN3" s="172">
        <v>2</v>
      </c>
      <c r="AO3" s="172">
        <f>Table3[[#This Row],[Opening RUL 30 June 2022]]-1</f>
        <v>1</v>
      </c>
      <c r="AP3" s="172"/>
      <c r="AQ3" s="173"/>
      <c r="AR3" s="164" t="s">
        <v>127</v>
      </c>
      <c r="AS3" s="174">
        <v>54505.02</v>
      </c>
      <c r="AT3" s="174"/>
      <c r="AU3" s="174">
        <v>0</v>
      </c>
      <c r="AV3" s="174">
        <v>0</v>
      </c>
      <c r="AW3" s="174">
        <v>0</v>
      </c>
      <c r="AX3" s="174">
        <v>54505.02</v>
      </c>
      <c r="AY3" s="174">
        <v>13626.254999999997</v>
      </c>
      <c r="AZ3" s="174"/>
      <c r="BA3" s="174"/>
      <c r="BB3" s="174"/>
      <c r="BC3" s="174">
        <v>-40878.764999999999</v>
      </c>
      <c r="BD3" s="174"/>
      <c r="BE3" s="174" t="s">
        <v>114</v>
      </c>
      <c r="BF3" s="167"/>
      <c r="BG3" s="174"/>
      <c r="BH3" s="174">
        <f>-(AY3-AH3)/AN3</f>
        <v>-6813.1274999999987</v>
      </c>
      <c r="BI3" s="174"/>
      <c r="BJ3" s="174" t="s">
        <v>116</v>
      </c>
      <c r="BK3" s="174"/>
      <c r="BL3" s="174">
        <f>BC3+BH3</f>
        <v>-47691.892500000002</v>
      </c>
      <c r="BM3" s="174"/>
      <c r="BN3" s="174"/>
      <c r="BO3" s="174"/>
      <c r="BP3" s="174"/>
      <c r="BQ3" s="174"/>
      <c r="BR3" s="174">
        <f>AX3+BL3+BQ3</f>
        <v>6813.1274999999951</v>
      </c>
      <c r="BS3" s="174"/>
      <c r="BT3" s="174"/>
      <c r="BU3" s="174"/>
      <c r="BV3" s="164" t="s">
        <v>167</v>
      </c>
      <c r="BW3" s="163" t="s">
        <v>168</v>
      </c>
      <c r="BX3" s="164"/>
      <c r="BY3" s="145"/>
      <c r="BZ3" s="145"/>
      <c r="CA3" s="164"/>
      <c r="CB3" s="164"/>
      <c r="CC3" s="164"/>
      <c r="CD3" s="178"/>
    </row>
    <row r="4" spans="1:82">
      <c r="A4" s="163" t="s">
        <v>767</v>
      </c>
      <c r="B4" s="163"/>
      <c r="C4" s="163" t="s">
        <v>819</v>
      </c>
      <c r="D4" s="164" t="s">
        <v>820</v>
      </c>
      <c r="E4" s="163" t="s">
        <v>819</v>
      </c>
      <c r="F4" s="165" t="s">
        <v>820</v>
      </c>
      <c r="G4" s="163" t="s">
        <v>821</v>
      </c>
      <c r="H4" s="166" t="s">
        <v>771</v>
      </c>
      <c r="I4" s="163" t="s">
        <v>822</v>
      </c>
      <c r="J4" s="166" t="s">
        <v>771</v>
      </c>
      <c r="K4" s="164" t="s">
        <v>559</v>
      </c>
      <c r="L4" s="164" t="s">
        <v>559</v>
      </c>
      <c r="M4" s="163" t="s">
        <v>822</v>
      </c>
      <c r="N4" s="164" t="s">
        <v>773</v>
      </c>
      <c r="O4" s="163" t="s">
        <v>822</v>
      </c>
      <c r="P4" s="164"/>
      <c r="Q4" s="164" t="s">
        <v>773</v>
      </c>
      <c r="R4" s="164" t="s">
        <v>119</v>
      </c>
      <c r="S4" s="164" t="s">
        <v>130</v>
      </c>
      <c r="T4" s="164" t="s">
        <v>120</v>
      </c>
      <c r="U4" s="164" t="s">
        <v>820</v>
      </c>
      <c r="V4" s="164" t="s">
        <v>121</v>
      </c>
      <c r="W4" s="164" t="s">
        <v>122</v>
      </c>
      <c r="X4" s="164" t="s">
        <v>123</v>
      </c>
      <c r="Y4" s="167">
        <v>1</v>
      </c>
      <c r="Z4" s="168" t="s">
        <v>778</v>
      </c>
      <c r="AA4" s="168">
        <v>40983</v>
      </c>
      <c r="AB4" s="163" t="s">
        <v>114</v>
      </c>
      <c r="AC4" s="163" t="s">
        <v>124</v>
      </c>
      <c r="AD4" s="169">
        <v>44651</v>
      </c>
      <c r="AE4" s="170" t="s">
        <v>125</v>
      </c>
      <c r="AF4" s="163">
        <v>2</v>
      </c>
      <c r="AG4" s="171">
        <v>0</v>
      </c>
      <c r="AH4" s="163">
        <v>0</v>
      </c>
      <c r="AI4" s="164" t="s">
        <v>126</v>
      </c>
      <c r="AJ4" s="164"/>
      <c r="AK4" s="167"/>
      <c r="AL4" s="164">
        <v>1</v>
      </c>
      <c r="AM4" s="164">
        <v>1</v>
      </c>
      <c r="AN4" s="172">
        <v>2</v>
      </c>
      <c r="AO4" s="172">
        <f>Table3[[#This Row],[Opening RUL 30 June 2022]]-1</f>
        <v>1</v>
      </c>
      <c r="AP4" s="172"/>
      <c r="AQ4" s="173"/>
      <c r="AR4" s="164" t="s">
        <v>127</v>
      </c>
      <c r="AS4" s="174">
        <v>27840</v>
      </c>
      <c r="AT4" s="174"/>
      <c r="AU4" s="174">
        <v>0</v>
      </c>
      <c r="AV4" s="174">
        <v>0</v>
      </c>
      <c r="AW4" s="174">
        <v>0</v>
      </c>
      <c r="AX4" s="174">
        <v>27840</v>
      </c>
      <c r="AY4" s="174">
        <v>6960</v>
      </c>
      <c r="AZ4" s="174"/>
      <c r="BA4" s="174"/>
      <c r="BB4" s="174"/>
      <c r="BC4" s="174">
        <v>-20880</v>
      </c>
      <c r="BD4" s="174"/>
      <c r="BE4" s="174" t="s">
        <v>114</v>
      </c>
      <c r="BF4" s="167"/>
      <c r="BG4" s="174"/>
      <c r="BH4" s="174">
        <f t="shared" ref="BH4:BH5" si="0">-(AY4-AH4)/AN4</f>
        <v>-3480</v>
      </c>
      <c r="BI4" s="174"/>
      <c r="BJ4" s="174" t="s">
        <v>116</v>
      </c>
      <c r="BK4" s="174"/>
      <c r="BL4" s="174">
        <f t="shared" ref="BL4:BL6" si="1">BC4+BH4</f>
        <v>-24360</v>
      </c>
      <c r="BM4" s="174"/>
      <c r="BN4" s="174"/>
      <c r="BO4" s="174"/>
      <c r="BP4" s="174"/>
      <c r="BQ4" s="174"/>
      <c r="BR4" s="174">
        <f t="shared" ref="BR4:BR6" si="2">AX4+BL4+BQ4</f>
        <v>3480</v>
      </c>
      <c r="BS4" s="174"/>
      <c r="BT4" s="174"/>
      <c r="BU4" s="174"/>
      <c r="BV4" s="164" t="s">
        <v>167</v>
      </c>
      <c r="BW4" s="163" t="s">
        <v>168</v>
      </c>
      <c r="BX4" s="164"/>
      <c r="BY4" s="145"/>
      <c r="BZ4" s="145"/>
      <c r="CA4" s="164"/>
      <c r="CB4" s="164"/>
      <c r="CC4" s="164"/>
      <c r="CD4" s="178"/>
    </row>
    <row r="5" spans="1:82">
      <c r="A5" s="150" t="s">
        <v>769</v>
      </c>
      <c r="B5" s="150"/>
      <c r="C5" s="163" t="s">
        <v>819</v>
      </c>
      <c r="D5" s="151" t="s">
        <v>820</v>
      </c>
      <c r="E5" s="150" t="s">
        <v>819</v>
      </c>
      <c r="F5" s="152" t="s">
        <v>820</v>
      </c>
      <c r="G5" s="163" t="s">
        <v>821</v>
      </c>
      <c r="H5" s="153" t="s">
        <v>771</v>
      </c>
      <c r="I5" s="163" t="s">
        <v>822</v>
      </c>
      <c r="J5" s="166" t="s">
        <v>771</v>
      </c>
      <c r="K5" s="151" t="s">
        <v>559</v>
      </c>
      <c r="L5" s="151" t="s">
        <v>559</v>
      </c>
      <c r="M5" s="163" t="s">
        <v>822</v>
      </c>
      <c r="N5" s="151" t="s">
        <v>775</v>
      </c>
      <c r="O5" s="163" t="s">
        <v>822</v>
      </c>
      <c r="P5" s="151"/>
      <c r="Q5" s="151" t="s">
        <v>775</v>
      </c>
      <c r="R5" s="151" t="s">
        <v>119</v>
      </c>
      <c r="S5" s="151" t="s">
        <v>130</v>
      </c>
      <c r="T5" s="151" t="s">
        <v>120</v>
      </c>
      <c r="U5" s="164" t="s">
        <v>820</v>
      </c>
      <c r="V5" s="151" t="s">
        <v>121</v>
      </c>
      <c r="W5" s="151" t="s">
        <v>122</v>
      </c>
      <c r="X5" s="151" t="s">
        <v>123</v>
      </c>
      <c r="Y5" s="154">
        <v>1</v>
      </c>
      <c r="Z5" s="155" t="s">
        <v>780</v>
      </c>
      <c r="AA5" s="155">
        <v>41429</v>
      </c>
      <c r="AB5" s="150" t="s">
        <v>114</v>
      </c>
      <c r="AC5" s="150" t="s">
        <v>124</v>
      </c>
      <c r="AD5" s="156">
        <v>44651</v>
      </c>
      <c r="AE5" s="157" t="s">
        <v>125</v>
      </c>
      <c r="AF5" s="150">
        <v>2</v>
      </c>
      <c r="AG5" s="158">
        <v>0</v>
      </c>
      <c r="AH5" s="150">
        <v>0</v>
      </c>
      <c r="AI5" s="151" t="s">
        <v>126</v>
      </c>
      <c r="AJ5" s="164"/>
      <c r="AK5" s="167"/>
      <c r="AL5" s="151">
        <v>1</v>
      </c>
      <c r="AM5" s="151">
        <v>1</v>
      </c>
      <c r="AN5" s="159">
        <v>2</v>
      </c>
      <c r="AO5" s="172">
        <f>Table3[[#This Row],[Opening RUL 30 June 2022]]-1</f>
        <v>1</v>
      </c>
      <c r="AP5" s="159"/>
      <c r="AQ5" s="160"/>
      <c r="AR5" s="151" t="s">
        <v>127</v>
      </c>
      <c r="AS5" s="161">
        <v>90840.9</v>
      </c>
      <c r="AT5" s="161"/>
      <c r="AU5" s="161">
        <v>0</v>
      </c>
      <c r="AV5" s="161">
        <v>0</v>
      </c>
      <c r="AW5" s="161">
        <v>0</v>
      </c>
      <c r="AX5" s="161">
        <v>90840.9</v>
      </c>
      <c r="AY5" s="174">
        <v>22710.225000000006</v>
      </c>
      <c r="AZ5" s="161"/>
      <c r="BA5" s="161"/>
      <c r="BB5" s="161"/>
      <c r="BC5" s="174">
        <v>-68130.674999999988</v>
      </c>
      <c r="BD5" s="161"/>
      <c r="BE5" s="161" t="s">
        <v>114</v>
      </c>
      <c r="BF5" s="154"/>
      <c r="BG5" s="161"/>
      <c r="BH5" s="174">
        <f t="shared" si="0"/>
        <v>-11355.112500000003</v>
      </c>
      <c r="BI5" s="161"/>
      <c r="BJ5" s="161" t="s">
        <v>116</v>
      </c>
      <c r="BK5" s="161"/>
      <c r="BL5" s="174">
        <f t="shared" si="1"/>
        <v>-79485.787499999991</v>
      </c>
      <c r="BM5" s="161"/>
      <c r="BN5" s="161"/>
      <c r="BO5" s="161"/>
      <c r="BP5" s="161"/>
      <c r="BQ5" s="161"/>
      <c r="BR5" s="174">
        <f t="shared" si="2"/>
        <v>11355.112500000003</v>
      </c>
      <c r="BS5" s="161"/>
      <c r="BT5" s="161"/>
      <c r="BU5" s="161"/>
      <c r="BV5" s="151" t="s">
        <v>167</v>
      </c>
      <c r="BW5" s="150" t="s">
        <v>168</v>
      </c>
      <c r="BX5" s="151"/>
      <c r="BY5" s="144"/>
      <c r="BZ5" s="144"/>
      <c r="CA5" s="151"/>
      <c r="CB5" s="151"/>
      <c r="CC5" s="151"/>
      <c r="CD5" s="179"/>
    </row>
    <row r="6" spans="1:82">
      <c r="A6" s="180" t="s">
        <v>770</v>
      </c>
      <c r="B6" s="180"/>
      <c r="C6" s="163" t="s">
        <v>819</v>
      </c>
      <c r="D6" s="181" t="s">
        <v>820</v>
      </c>
      <c r="E6" s="180" t="s">
        <v>819</v>
      </c>
      <c r="F6" s="182" t="s">
        <v>820</v>
      </c>
      <c r="G6" s="163" t="s">
        <v>821</v>
      </c>
      <c r="H6" s="183" t="s">
        <v>771</v>
      </c>
      <c r="I6" s="163" t="s">
        <v>822</v>
      </c>
      <c r="J6" s="166" t="s">
        <v>771</v>
      </c>
      <c r="K6" s="181" t="s">
        <v>559</v>
      </c>
      <c r="L6" s="181" t="s">
        <v>559</v>
      </c>
      <c r="M6" s="163" t="s">
        <v>822</v>
      </c>
      <c r="N6" s="181" t="s">
        <v>776</v>
      </c>
      <c r="O6" s="163" t="s">
        <v>822</v>
      </c>
      <c r="P6" s="181"/>
      <c r="Q6" s="181" t="s">
        <v>776</v>
      </c>
      <c r="R6" s="181" t="s">
        <v>119</v>
      </c>
      <c r="S6" s="181" t="s">
        <v>130</v>
      </c>
      <c r="T6" s="181" t="s">
        <v>120</v>
      </c>
      <c r="U6" s="164" t="s">
        <v>820</v>
      </c>
      <c r="V6" s="181" t="s">
        <v>121</v>
      </c>
      <c r="W6" s="181" t="s">
        <v>122</v>
      </c>
      <c r="X6" s="181" t="s">
        <v>123</v>
      </c>
      <c r="Y6" s="184">
        <v>1</v>
      </c>
      <c r="Z6" s="185" t="s">
        <v>781</v>
      </c>
      <c r="AA6" s="185">
        <v>44468</v>
      </c>
      <c r="AB6" s="180" t="s">
        <v>114</v>
      </c>
      <c r="AC6" s="180" t="s">
        <v>124</v>
      </c>
      <c r="AD6" s="186">
        <v>44651</v>
      </c>
      <c r="AE6" s="187" t="s">
        <v>125</v>
      </c>
      <c r="AF6" s="180">
        <v>2</v>
      </c>
      <c r="AG6" s="188">
        <v>0</v>
      </c>
      <c r="AH6" s="180">
        <v>0</v>
      </c>
      <c r="AI6" s="181" t="s">
        <v>126</v>
      </c>
      <c r="AJ6" s="181"/>
      <c r="AK6" s="184"/>
      <c r="AL6" s="184">
        <v>1.5</v>
      </c>
      <c r="AM6" s="181"/>
      <c r="AN6" s="189">
        <v>0</v>
      </c>
      <c r="AO6" s="189">
        <f>Table3[[#This Row],[Opening RUL]]-1</f>
        <v>0.5</v>
      </c>
      <c r="AP6" s="189"/>
      <c r="AQ6" s="190"/>
      <c r="AR6" s="181" t="s">
        <v>127</v>
      </c>
      <c r="AS6" s="191">
        <v>340200</v>
      </c>
      <c r="AT6" s="184"/>
      <c r="AU6" s="191">
        <v>0</v>
      </c>
      <c r="AV6" s="191">
        <v>0</v>
      </c>
      <c r="AW6" s="191">
        <v>0</v>
      </c>
      <c r="AX6" s="191">
        <v>340200</v>
      </c>
      <c r="AY6" s="191">
        <v>254916.98630136985</v>
      </c>
      <c r="AZ6" s="191"/>
      <c r="BA6" s="191"/>
      <c r="BB6" s="191"/>
      <c r="BC6" s="191">
        <v>-85283.013698630151</v>
      </c>
      <c r="BD6" s="191"/>
      <c r="BE6" s="191" t="s">
        <v>114</v>
      </c>
      <c r="BF6" s="184"/>
      <c r="BG6" s="191"/>
      <c r="BH6" s="174">
        <f>-(AY6-AH6)/Table3[[#This Row],[Opening RUL]]</f>
        <v>-169944.65753424657</v>
      </c>
      <c r="BI6" s="191"/>
      <c r="BJ6" s="191" t="s">
        <v>116</v>
      </c>
      <c r="BK6" s="191"/>
      <c r="BL6" s="191">
        <f t="shared" si="1"/>
        <v>-255227.67123287672</v>
      </c>
      <c r="BM6" s="191"/>
      <c r="BN6" s="191"/>
      <c r="BO6" s="191"/>
      <c r="BP6" s="191"/>
      <c r="BQ6" s="191"/>
      <c r="BR6" s="191">
        <f t="shared" si="2"/>
        <v>84972.328767123283</v>
      </c>
      <c r="BS6" s="191"/>
      <c r="BT6" s="191"/>
      <c r="BU6" s="191"/>
      <c r="BV6" s="181" t="s">
        <v>167</v>
      </c>
      <c r="BW6" s="180" t="s">
        <v>168</v>
      </c>
      <c r="BX6" s="181"/>
      <c r="BY6" s="192"/>
      <c r="BZ6" s="192"/>
      <c r="CA6" s="181"/>
      <c r="CB6" s="181"/>
      <c r="CC6" s="181"/>
      <c r="CD6" s="193"/>
    </row>
    <row r="7" spans="1:82">
      <c r="A7" s="163" t="s">
        <v>817</v>
      </c>
      <c r="B7" s="163"/>
      <c r="C7" s="163" t="s">
        <v>819</v>
      </c>
      <c r="D7" s="164" t="s">
        <v>820</v>
      </c>
      <c r="E7" s="163" t="s">
        <v>819</v>
      </c>
      <c r="F7" s="165" t="s">
        <v>820</v>
      </c>
      <c r="G7" s="163" t="s">
        <v>821</v>
      </c>
      <c r="H7" s="183" t="s">
        <v>771</v>
      </c>
      <c r="I7" s="163" t="s">
        <v>822</v>
      </c>
      <c r="J7" s="166" t="s">
        <v>771</v>
      </c>
      <c r="K7" s="181" t="s">
        <v>559</v>
      </c>
      <c r="L7" s="181" t="s">
        <v>559</v>
      </c>
      <c r="M7" s="163" t="s">
        <v>822</v>
      </c>
      <c r="N7" s="164" t="s">
        <v>823</v>
      </c>
      <c r="O7" s="163" t="s">
        <v>822</v>
      </c>
      <c r="P7" s="164"/>
      <c r="Q7" s="164" t="s">
        <v>823</v>
      </c>
      <c r="R7" s="181" t="s">
        <v>119</v>
      </c>
      <c r="S7" s="181" t="s">
        <v>130</v>
      </c>
      <c r="T7" s="181" t="s">
        <v>120</v>
      </c>
      <c r="U7" s="164" t="s">
        <v>820</v>
      </c>
      <c r="V7" s="181" t="s">
        <v>121</v>
      </c>
      <c r="W7" s="181" t="s">
        <v>122</v>
      </c>
      <c r="X7" s="181" t="s">
        <v>123</v>
      </c>
      <c r="Y7" s="184">
        <v>1</v>
      </c>
      <c r="Z7" s="168" t="s">
        <v>825</v>
      </c>
      <c r="AA7" s="168">
        <v>44742</v>
      </c>
      <c r="AB7" s="180" t="s">
        <v>114</v>
      </c>
      <c r="AC7" s="180" t="s">
        <v>124</v>
      </c>
      <c r="AD7" s="186">
        <v>45016</v>
      </c>
      <c r="AE7" s="187" t="s">
        <v>125</v>
      </c>
      <c r="AF7" s="180">
        <v>2</v>
      </c>
      <c r="AG7" s="188">
        <v>0</v>
      </c>
      <c r="AH7" s="180">
        <v>0</v>
      </c>
      <c r="AI7" s="181" t="s">
        <v>126</v>
      </c>
      <c r="AJ7" s="164">
        <f t="shared" ref="AJ7:AJ8" si="3">AD7-AA7</f>
        <v>274</v>
      </c>
      <c r="AK7" s="167">
        <f t="shared" ref="AK7:AK8" si="4">AJ7/365</f>
        <v>0.75068493150684934</v>
      </c>
      <c r="AL7" s="167">
        <v>0</v>
      </c>
      <c r="AM7" s="164"/>
      <c r="AN7" s="189">
        <v>0</v>
      </c>
      <c r="AO7" s="172">
        <f>Table3[[#This Row],[EUL]]-Table3[[#This Row],[Years utilised in Years]]</f>
        <v>1.2493150684931507</v>
      </c>
      <c r="AP7" s="172"/>
      <c r="AQ7" s="173"/>
      <c r="AR7" s="181" t="s">
        <v>127</v>
      </c>
      <c r="AS7" s="167">
        <v>0</v>
      </c>
      <c r="AT7" s="191">
        <v>115000</v>
      </c>
      <c r="AU7" s="191">
        <v>0</v>
      </c>
      <c r="AV7" s="191">
        <v>0</v>
      </c>
      <c r="AW7" s="191">
        <v>0</v>
      </c>
      <c r="AX7" s="191">
        <v>115000</v>
      </c>
      <c r="AY7" s="174">
        <v>0</v>
      </c>
      <c r="AZ7" s="174"/>
      <c r="BA7" s="174"/>
      <c r="BB7" s="174"/>
      <c r="BC7" s="174">
        <v>0</v>
      </c>
      <c r="BD7" s="174"/>
      <c r="BE7" s="191" t="s">
        <v>114</v>
      </c>
      <c r="BF7" s="167"/>
      <c r="BG7" s="174"/>
      <c r="BH7" s="174">
        <f>-(Table3[[#This Row],[Additions capitalised (@actual cost)]]-Table3[[#This Row],[Residual Value]])*Table3[[#This Row],[Years utilised in Years]]/Table3[[#This Row],[EUL]]</f>
        <v>-43164.383561643837</v>
      </c>
      <c r="BI7" s="174"/>
      <c r="BJ7" s="191" t="s">
        <v>116</v>
      </c>
      <c r="BK7" s="174"/>
      <c r="BL7" s="174">
        <f t="shared" ref="BL7:BL8" si="5">BC7+BH7</f>
        <v>-43164.383561643837</v>
      </c>
      <c r="BM7" s="174"/>
      <c r="BN7" s="174"/>
      <c r="BO7" s="174"/>
      <c r="BP7" s="174"/>
      <c r="BQ7" s="174"/>
      <c r="BR7" s="174">
        <f t="shared" ref="BR7:BR8" si="6">AX7+BL7+BQ7</f>
        <v>71835.61643835617</v>
      </c>
      <c r="BS7" s="174"/>
      <c r="BT7" s="174"/>
      <c r="BU7" s="174"/>
      <c r="BV7" s="181" t="s">
        <v>167</v>
      </c>
      <c r="BW7" s="180" t="s">
        <v>168</v>
      </c>
      <c r="BX7" s="164"/>
      <c r="BY7" s="145"/>
      <c r="BZ7" s="145"/>
      <c r="CA7" s="164"/>
      <c r="CB7" s="164"/>
      <c r="CC7" s="164"/>
      <c r="CD7" s="178"/>
    </row>
    <row r="8" spans="1:82">
      <c r="A8" s="180" t="s">
        <v>818</v>
      </c>
      <c r="B8" s="180"/>
      <c r="C8" s="163" t="s">
        <v>819</v>
      </c>
      <c r="D8" s="181" t="s">
        <v>820</v>
      </c>
      <c r="E8" s="180" t="s">
        <v>819</v>
      </c>
      <c r="F8" s="182" t="s">
        <v>820</v>
      </c>
      <c r="G8" s="163" t="s">
        <v>821</v>
      </c>
      <c r="H8" s="183" t="s">
        <v>771</v>
      </c>
      <c r="I8" s="163" t="s">
        <v>822</v>
      </c>
      <c r="J8" s="166" t="s">
        <v>771</v>
      </c>
      <c r="K8" s="181" t="s">
        <v>559</v>
      </c>
      <c r="L8" s="181" t="s">
        <v>559</v>
      </c>
      <c r="M8" s="163" t="s">
        <v>822</v>
      </c>
      <c r="N8" s="181" t="s">
        <v>824</v>
      </c>
      <c r="O8" s="163" t="s">
        <v>822</v>
      </c>
      <c r="P8" s="181"/>
      <c r="Q8" s="181" t="s">
        <v>824</v>
      </c>
      <c r="R8" s="181" t="s">
        <v>119</v>
      </c>
      <c r="S8" s="181" t="s">
        <v>130</v>
      </c>
      <c r="T8" s="181" t="s">
        <v>120</v>
      </c>
      <c r="U8" s="164" t="s">
        <v>820</v>
      </c>
      <c r="V8" s="181" t="s">
        <v>121</v>
      </c>
      <c r="W8" s="181" t="s">
        <v>122</v>
      </c>
      <c r="X8" s="181" t="s">
        <v>123</v>
      </c>
      <c r="Y8" s="184">
        <v>1</v>
      </c>
      <c r="Z8" s="185" t="s">
        <v>826</v>
      </c>
      <c r="AA8" s="185">
        <v>44804</v>
      </c>
      <c r="AB8" s="180" t="s">
        <v>114</v>
      </c>
      <c r="AC8" s="180" t="s">
        <v>124</v>
      </c>
      <c r="AD8" s="186">
        <v>45016</v>
      </c>
      <c r="AE8" s="187" t="s">
        <v>125</v>
      </c>
      <c r="AF8" s="180">
        <v>2</v>
      </c>
      <c r="AG8" s="188">
        <v>0</v>
      </c>
      <c r="AH8" s="180">
        <v>0</v>
      </c>
      <c r="AI8" s="181" t="s">
        <v>126</v>
      </c>
      <c r="AJ8" s="181">
        <f t="shared" si="3"/>
        <v>212</v>
      </c>
      <c r="AK8" s="184">
        <f t="shared" si="4"/>
        <v>0.58082191780821912</v>
      </c>
      <c r="AL8" s="184">
        <v>0</v>
      </c>
      <c r="AM8" s="181"/>
      <c r="AN8" s="189">
        <v>0</v>
      </c>
      <c r="AO8" s="172">
        <f>Table3[[#This Row],[EUL]]-Table3[[#This Row],[Years utilised in Years]]</f>
        <v>1.419178082191781</v>
      </c>
      <c r="AP8" s="189"/>
      <c r="AQ8" s="190"/>
      <c r="AR8" s="181" t="s">
        <v>127</v>
      </c>
      <c r="AS8" s="184">
        <v>0</v>
      </c>
      <c r="AT8" s="191">
        <v>269882</v>
      </c>
      <c r="AU8" s="191">
        <v>0</v>
      </c>
      <c r="AV8" s="191">
        <v>0</v>
      </c>
      <c r="AW8" s="191">
        <v>0</v>
      </c>
      <c r="AX8" s="191">
        <v>269882</v>
      </c>
      <c r="AY8" s="191">
        <v>0</v>
      </c>
      <c r="AZ8" s="191"/>
      <c r="BA8" s="191"/>
      <c r="BB8" s="191"/>
      <c r="BC8" s="191">
        <v>0</v>
      </c>
      <c r="BD8" s="191"/>
      <c r="BE8" s="191" t="s">
        <v>114</v>
      </c>
      <c r="BF8" s="184"/>
      <c r="BG8" s="191"/>
      <c r="BH8" s="174">
        <f>-(Table3[[#This Row],[Additions capitalised (@actual cost)]]-Table3[[#This Row],[Residual Value]])*Table3[[#This Row],[Years utilised in Years]]/Table3[[#This Row],[EUL]]</f>
        <v>-78376.690410958894</v>
      </c>
      <c r="BI8" s="191"/>
      <c r="BJ8" s="191" t="s">
        <v>116</v>
      </c>
      <c r="BK8" s="191"/>
      <c r="BL8" s="191">
        <f t="shared" si="5"/>
        <v>-78376.690410958894</v>
      </c>
      <c r="BM8" s="191"/>
      <c r="BN8" s="191"/>
      <c r="BO8" s="191"/>
      <c r="BP8" s="191"/>
      <c r="BQ8" s="191"/>
      <c r="BR8" s="191">
        <f t="shared" si="6"/>
        <v>191505.30958904111</v>
      </c>
      <c r="BS8" s="191"/>
      <c r="BT8" s="191"/>
      <c r="BU8" s="191"/>
      <c r="BV8" s="181" t="s">
        <v>167</v>
      </c>
      <c r="BW8" s="180" t="s">
        <v>168</v>
      </c>
      <c r="BX8" s="181"/>
      <c r="BY8" s="192"/>
      <c r="BZ8" s="192"/>
      <c r="CA8" s="181"/>
      <c r="CB8" s="181"/>
      <c r="CC8" s="181"/>
      <c r="CD8" s="193"/>
    </row>
    <row r="9" spans="1:82">
      <c r="A9" s="180"/>
      <c r="B9" s="180"/>
      <c r="C9" s="180"/>
      <c r="D9" s="181"/>
      <c r="E9" s="180"/>
      <c r="F9" s="182"/>
      <c r="G9" s="180"/>
      <c r="H9" s="183"/>
      <c r="I9" s="180"/>
      <c r="J9" s="182"/>
      <c r="K9" s="181"/>
      <c r="L9" s="181"/>
      <c r="M9" s="180"/>
      <c r="N9" s="181"/>
      <c r="O9" s="180"/>
      <c r="P9" s="181"/>
      <c r="Q9" s="181"/>
      <c r="R9" s="181"/>
      <c r="S9" s="181"/>
      <c r="T9" s="181"/>
      <c r="U9" s="181"/>
      <c r="V9" s="181"/>
      <c r="W9" s="181"/>
      <c r="X9" s="181"/>
      <c r="Y9" s="208"/>
      <c r="Z9" s="185"/>
      <c r="AA9" s="185"/>
      <c r="AB9" s="180"/>
      <c r="AC9" s="180"/>
      <c r="AD9" s="186"/>
      <c r="AE9" s="187"/>
      <c r="AF9" s="180"/>
      <c r="AG9" s="188"/>
      <c r="AH9" s="180"/>
      <c r="AI9" s="181"/>
      <c r="AJ9" s="181"/>
      <c r="AK9" s="208"/>
      <c r="AL9" s="208"/>
      <c r="AM9" s="181"/>
      <c r="AN9" s="189"/>
      <c r="AO9" s="189"/>
      <c r="AP9" s="189"/>
      <c r="AQ9" s="190"/>
      <c r="AR9" s="181"/>
      <c r="AS9" s="193">
        <f t="shared" ref="AS9:BD9" si="7">SUBTOTAL(109,AS3:AS8)</f>
        <v>513385.92</v>
      </c>
      <c r="AT9" s="128">
        <f t="shared" si="7"/>
        <v>384882</v>
      </c>
      <c r="AU9" s="193">
        <f t="shared" si="7"/>
        <v>0</v>
      </c>
      <c r="AV9" s="193">
        <f t="shared" si="7"/>
        <v>0</v>
      </c>
      <c r="AW9" s="193">
        <f t="shared" si="7"/>
        <v>0</v>
      </c>
      <c r="AX9" s="208">
        <f t="shared" si="7"/>
        <v>898267.91999999993</v>
      </c>
      <c r="AY9" s="193">
        <f t="shared" si="7"/>
        <v>298213.46630136983</v>
      </c>
      <c r="AZ9" s="193">
        <f t="shared" si="7"/>
        <v>0</v>
      </c>
      <c r="BA9" s="193">
        <f t="shared" si="7"/>
        <v>0</v>
      </c>
      <c r="BB9" s="193">
        <f t="shared" si="7"/>
        <v>0</v>
      </c>
      <c r="BC9" s="193">
        <f t="shared" si="7"/>
        <v>-215172.45369863015</v>
      </c>
      <c r="BD9" s="193">
        <f t="shared" si="7"/>
        <v>0</v>
      </c>
      <c r="BE9" s="193"/>
      <c r="BF9" s="208"/>
      <c r="BG9" s="193"/>
      <c r="BH9" s="193">
        <f>SUBTOTAL(109,Table3[Depreciation YTD])</f>
        <v>-313133.97150684928</v>
      </c>
      <c r="BI9" s="193"/>
      <c r="BJ9" s="193"/>
      <c r="BK9" s="193"/>
      <c r="BL9" s="193">
        <f t="shared" ref="BL9:BR9" si="8">SUBTOTAL(109,BL3:BL8)</f>
        <v>-528306.42520547938</v>
      </c>
      <c r="BM9" s="193">
        <f t="shared" si="8"/>
        <v>0</v>
      </c>
      <c r="BN9" s="193">
        <f t="shared" si="8"/>
        <v>0</v>
      </c>
      <c r="BO9" s="193">
        <f t="shared" si="8"/>
        <v>0</v>
      </c>
      <c r="BP9" s="193">
        <f t="shared" si="8"/>
        <v>0</v>
      </c>
      <c r="BQ9" s="193">
        <f t="shared" si="8"/>
        <v>0</v>
      </c>
      <c r="BR9" s="193">
        <f t="shared" si="8"/>
        <v>369961.49479452055</v>
      </c>
      <c r="BS9" s="193"/>
      <c r="BT9" s="193"/>
      <c r="BU9" s="193"/>
      <c r="BV9" s="181"/>
      <c r="BW9" s="180"/>
      <c r="BX9" s="181"/>
      <c r="BY9" s="192"/>
      <c r="BZ9" s="192"/>
      <c r="CA9" s="181"/>
      <c r="CB9" s="181"/>
      <c r="CC9" s="181"/>
      <c r="CD9" s="193"/>
    </row>
  </sheetData>
  <conditionalFormatting sqref="A3:A8">
    <cfRule type="duplicateValues" dxfId="75" priority="241"/>
  </conditionalFormatting>
  <conditionalFormatting sqref="M2:X2">
    <cfRule type="containsErrors" dxfId="74" priority="2">
      <formula>ISERROR(M2)</formula>
    </cfRule>
  </conditionalFormatting>
  <dataValidations count="4">
    <dataValidation type="list" allowBlank="1" showInputMessage="1" showErrorMessage="1" sqref="P2" xr:uid="{A580A3BF-144C-41B1-A0C4-5E5F7DA1B37B}">
      <formula1>OFFSET(#REF!,MATCH(N2,#REF!,0)-1,1,COUNTIF(#REF!,N2),1)</formula1>
    </dataValidation>
    <dataValidation type="list" allowBlank="1" showInputMessage="1" showErrorMessage="1" sqref="D3:D8" xr:uid="{64E0D831-1CBC-4E61-89A0-1F24B30C9547}">
      <formula1>OFFSET(#REF!,3,0,COUNTA(#REF!)-1,1)</formula1>
    </dataValidation>
    <dataValidation type="list" allowBlank="1" showInputMessage="1" showErrorMessage="1" sqref="AR3:AR8" xr:uid="{4EC5816C-2BAF-4E97-AE70-EA29C1063538}">
      <formula1>General_List_F</formula1>
    </dataValidation>
    <dataValidation type="list" allowBlank="1" showInputMessage="1" showErrorMessage="1" sqref="BV3:BV8 R3:T8 AB3:AC8" xr:uid="{84E5B920-2C89-4794-BD67-65CD423574B1}">
      <formula1>#REF!</formula1>
    </dataValidation>
  </dataValidations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25EEC-8975-4FDA-BA60-B1F7C458E1AF}">
  <dimension ref="A2:BX65"/>
  <sheetViews>
    <sheetView workbookViewId="0">
      <selection activeCell="A3" sqref="A3:AR65"/>
    </sheetView>
  </sheetViews>
  <sheetFormatPr defaultRowHeight="14.5"/>
  <sheetData>
    <row r="2" spans="1:76" ht="69">
      <c r="A2" s="80" t="s">
        <v>118</v>
      </c>
      <c r="B2" s="78" t="s">
        <v>153</v>
      </c>
      <c r="C2" s="79" t="s">
        <v>6</v>
      </c>
      <c r="D2" s="78" t="s">
        <v>7</v>
      </c>
      <c r="E2" s="79" t="s">
        <v>8</v>
      </c>
      <c r="F2" s="78" t="s">
        <v>49</v>
      </c>
      <c r="G2" s="79" t="s">
        <v>9</v>
      </c>
      <c r="H2" s="78" t="s">
        <v>50</v>
      </c>
      <c r="I2" s="79" t="s">
        <v>52</v>
      </c>
      <c r="J2" s="78" t="s">
        <v>51</v>
      </c>
      <c r="K2" s="79" t="s">
        <v>10</v>
      </c>
      <c r="L2" s="79" t="s">
        <v>155</v>
      </c>
      <c r="M2" s="79" t="s">
        <v>53</v>
      </c>
      <c r="N2" s="78" t="s">
        <v>12</v>
      </c>
      <c r="O2" s="79" t="s">
        <v>11</v>
      </c>
      <c r="P2" s="78" t="s">
        <v>13</v>
      </c>
      <c r="Q2" s="78" t="s">
        <v>14</v>
      </c>
      <c r="R2" s="79" t="s">
        <v>15</v>
      </c>
      <c r="S2" s="79" t="s">
        <v>16</v>
      </c>
      <c r="T2" s="79" t="s">
        <v>17</v>
      </c>
      <c r="U2" s="79" t="s">
        <v>18</v>
      </c>
      <c r="V2" s="79" t="s">
        <v>19</v>
      </c>
      <c r="W2" s="79" t="s">
        <v>20</v>
      </c>
      <c r="X2" s="79" t="s">
        <v>92</v>
      </c>
      <c r="Y2" s="79" t="s">
        <v>21</v>
      </c>
      <c r="Z2" s="79" t="s">
        <v>157</v>
      </c>
      <c r="AA2" s="79" t="s">
        <v>55</v>
      </c>
      <c r="AB2" s="79" t="s">
        <v>22</v>
      </c>
      <c r="AC2" s="79" t="s">
        <v>23</v>
      </c>
      <c r="AD2" s="79" t="s">
        <v>131</v>
      </c>
      <c r="AE2" s="79" t="s">
        <v>56</v>
      </c>
      <c r="AF2" s="79" t="s">
        <v>24</v>
      </c>
      <c r="AG2" s="79" t="s">
        <v>172</v>
      </c>
      <c r="AH2" s="79" t="s">
        <v>171</v>
      </c>
      <c r="AI2" s="81" t="s">
        <v>25</v>
      </c>
      <c r="AJ2" s="81" t="s">
        <v>158</v>
      </c>
      <c r="AK2" s="81" t="s">
        <v>159</v>
      </c>
      <c r="AL2" s="81" t="s">
        <v>161</v>
      </c>
      <c r="AM2" s="81" t="s">
        <v>162</v>
      </c>
      <c r="AN2" s="146" t="s">
        <v>163</v>
      </c>
      <c r="AO2" s="146" t="s">
        <v>164</v>
      </c>
      <c r="AP2" s="146" t="s">
        <v>166</v>
      </c>
      <c r="AQ2" s="146" t="s">
        <v>165</v>
      </c>
      <c r="AR2" s="79" t="s">
        <v>26</v>
      </c>
      <c r="AS2" s="86" t="s">
        <v>59</v>
      </c>
      <c r="AT2" s="86" t="s">
        <v>27</v>
      </c>
      <c r="AU2" s="89" t="s">
        <v>29</v>
      </c>
      <c r="AV2" s="89" t="s">
        <v>30</v>
      </c>
      <c r="AW2" s="83" t="s">
        <v>57</v>
      </c>
      <c r="AX2" s="86" t="s">
        <v>58</v>
      </c>
      <c r="AY2" s="88" t="s">
        <v>31</v>
      </c>
      <c r="AZ2" s="84" t="s">
        <v>32</v>
      </c>
      <c r="BA2" s="84" t="s">
        <v>33</v>
      </c>
      <c r="BB2" s="86" t="s">
        <v>34</v>
      </c>
      <c r="BC2" s="88" t="s">
        <v>35</v>
      </c>
      <c r="BD2" s="89" t="s">
        <v>36</v>
      </c>
      <c r="BE2" s="86" t="s">
        <v>37</v>
      </c>
      <c r="BF2" s="89" t="s">
        <v>38</v>
      </c>
      <c r="BG2" s="86" t="s">
        <v>39</v>
      </c>
      <c r="BH2" s="86" t="s">
        <v>40</v>
      </c>
      <c r="BI2" s="85" t="s">
        <v>41</v>
      </c>
      <c r="BJ2" s="89" t="s">
        <v>60</v>
      </c>
      <c r="BK2" s="86" t="s">
        <v>61</v>
      </c>
      <c r="BL2" s="86" t="s">
        <v>42</v>
      </c>
      <c r="BM2" s="88" t="s">
        <v>43</v>
      </c>
      <c r="BN2" s="85" t="s">
        <v>44</v>
      </c>
      <c r="BO2" s="89" t="s">
        <v>62</v>
      </c>
      <c r="BP2" s="86" t="s">
        <v>63</v>
      </c>
      <c r="BQ2" s="87" t="s">
        <v>64</v>
      </c>
      <c r="BR2" s="2" t="s">
        <v>154</v>
      </c>
      <c r="BS2" s="2" t="s">
        <v>148</v>
      </c>
      <c r="BT2" s="2" t="s">
        <v>156</v>
      </c>
      <c r="BU2" s="147" t="s">
        <v>170</v>
      </c>
      <c r="BV2" s="147" t="s">
        <v>169</v>
      </c>
      <c r="BW2" s="147" t="s">
        <v>175</v>
      </c>
      <c r="BX2" s="148" t="s">
        <v>177</v>
      </c>
    </row>
    <row r="3" spans="1:76">
      <c r="A3" s="149">
        <v>1603</v>
      </c>
      <c r="B3" s="150"/>
      <c r="C3" s="150" t="s">
        <v>54</v>
      </c>
      <c r="D3" s="151" t="s">
        <v>1</v>
      </c>
      <c r="E3" s="150" t="s">
        <v>115</v>
      </c>
      <c r="F3" s="152" t="s">
        <v>99</v>
      </c>
      <c r="G3" s="150" t="s">
        <v>100</v>
      </c>
      <c r="H3" s="153" t="s">
        <v>128</v>
      </c>
      <c r="I3" s="150" t="s">
        <v>100</v>
      </c>
      <c r="J3" s="152" t="s">
        <v>101</v>
      </c>
      <c r="K3" s="151" t="s">
        <v>559</v>
      </c>
      <c r="L3" s="151" t="s">
        <v>559</v>
      </c>
      <c r="M3" s="150" t="s">
        <v>100</v>
      </c>
      <c r="N3" s="151" t="s">
        <v>553</v>
      </c>
      <c r="O3" s="150" t="s">
        <v>100</v>
      </c>
      <c r="P3" s="151"/>
      <c r="Q3" s="151" t="s">
        <v>553</v>
      </c>
      <c r="R3" s="151" t="s">
        <v>119</v>
      </c>
      <c r="S3" s="151" t="s">
        <v>130</v>
      </c>
      <c r="T3" s="151" t="s">
        <v>120</v>
      </c>
      <c r="U3" s="151" t="s">
        <v>101</v>
      </c>
      <c r="V3" s="151" t="s">
        <v>121</v>
      </c>
      <c r="W3" s="151" t="s">
        <v>122</v>
      </c>
      <c r="X3" s="151" t="s">
        <v>123</v>
      </c>
      <c r="Y3" s="154">
        <v>1</v>
      </c>
      <c r="Z3" s="155" t="s">
        <v>598</v>
      </c>
      <c r="AA3" s="155" t="s">
        <v>598</v>
      </c>
      <c r="AB3" s="150" t="s">
        <v>114</v>
      </c>
      <c r="AC3" s="150" t="s">
        <v>124</v>
      </c>
      <c r="AD3" s="156">
        <v>45107</v>
      </c>
      <c r="AE3" s="157" t="s">
        <v>125</v>
      </c>
      <c r="AF3" s="150"/>
      <c r="AG3" s="158">
        <v>0</v>
      </c>
      <c r="AH3" s="150">
        <v>0</v>
      </c>
      <c r="AI3" s="151" t="s">
        <v>126</v>
      </c>
      <c r="AJ3" s="151"/>
      <c r="AK3" s="154">
        <v>0</v>
      </c>
      <c r="AL3" s="154"/>
      <c r="AM3" s="151"/>
      <c r="AN3" s="159">
        <v>0</v>
      </c>
      <c r="AO3" s="159">
        <v>-1</v>
      </c>
      <c r="AP3" s="159"/>
      <c r="AQ3" s="160"/>
      <c r="AR3" s="151" t="s">
        <v>127</v>
      </c>
      <c r="AS3" s="154"/>
      <c r="AT3" s="161"/>
      <c r="AU3" s="161">
        <v>0</v>
      </c>
      <c r="AV3" s="161">
        <v>0</v>
      </c>
      <c r="AW3" s="161"/>
      <c r="AX3" s="161">
        <v>0</v>
      </c>
      <c r="AY3" s="161"/>
      <c r="AZ3" s="161"/>
      <c r="BA3" s="161"/>
      <c r="BB3" s="161">
        <v>0</v>
      </c>
      <c r="BC3" s="161"/>
      <c r="BD3" s="161" t="s">
        <v>114</v>
      </c>
      <c r="BE3" s="154"/>
      <c r="BF3" s="161"/>
      <c r="BG3" s="161" t="e">
        <v>#DIV/0!</v>
      </c>
      <c r="BH3" s="161"/>
      <c r="BI3" s="161" t="s">
        <v>116</v>
      </c>
      <c r="BJ3" s="161"/>
      <c r="BK3" s="161" t="e">
        <v>#DIV/0!</v>
      </c>
      <c r="BL3" s="161"/>
      <c r="BM3" s="161"/>
      <c r="BN3" s="161"/>
      <c r="BO3" s="161"/>
      <c r="BP3" s="161"/>
      <c r="BQ3" s="161" t="e">
        <v>#DIV/0!</v>
      </c>
      <c r="BR3" s="151"/>
      <c r="BS3" s="144"/>
      <c r="BT3" s="144"/>
      <c r="BU3" s="151"/>
      <c r="BV3" s="151"/>
      <c r="BW3" s="151"/>
      <c r="BX3" s="175"/>
    </row>
    <row r="4" spans="1:76">
      <c r="A4" s="162">
        <v>1604</v>
      </c>
      <c r="B4" s="163"/>
      <c r="C4" s="163" t="s">
        <v>54</v>
      </c>
      <c r="D4" s="164" t="s">
        <v>1</v>
      </c>
      <c r="E4" s="163" t="s">
        <v>115</v>
      </c>
      <c r="F4" s="165" t="s">
        <v>99</v>
      </c>
      <c r="G4" s="163" t="s">
        <v>100</v>
      </c>
      <c r="H4" s="166" t="s">
        <v>128</v>
      </c>
      <c r="I4" s="163" t="s">
        <v>100</v>
      </c>
      <c r="J4" s="165" t="s">
        <v>101</v>
      </c>
      <c r="K4" s="164" t="s">
        <v>559</v>
      </c>
      <c r="L4" s="164" t="s">
        <v>559</v>
      </c>
      <c r="M4" s="163" t="s">
        <v>100</v>
      </c>
      <c r="N4" s="164" t="s">
        <v>553</v>
      </c>
      <c r="O4" s="163" t="s">
        <v>100</v>
      </c>
      <c r="P4" s="164"/>
      <c r="Q4" s="164" t="s">
        <v>553</v>
      </c>
      <c r="R4" s="164" t="s">
        <v>119</v>
      </c>
      <c r="S4" s="164" t="s">
        <v>130</v>
      </c>
      <c r="T4" s="164" t="s">
        <v>120</v>
      </c>
      <c r="U4" s="164" t="s">
        <v>101</v>
      </c>
      <c r="V4" s="164" t="s">
        <v>121</v>
      </c>
      <c r="W4" s="164" t="s">
        <v>122</v>
      </c>
      <c r="X4" s="164" t="s">
        <v>123</v>
      </c>
      <c r="Y4" s="167">
        <v>1</v>
      </c>
      <c r="Z4" s="168" t="s">
        <v>598</v>
      </c>
      <c r="AA4" s="168" t="s">
        <v>598</v>
      </c>
      <c r="AB4" s="163" t="s">
        <v>114</v>
      </c>
      <c r="AC4" s="163" t="s">
        <v>124</v>
      </c>
      <c r="AD4" s="169">
        <v>45107</v>
      </c>
      <c r="AE4" s="170" t="s">
        <v>125</v>
      </c>
      <c r="AF4" s="163"/>
      <c r="AG4" s="171">
        <v>0</v>
      </c>
      <c r="AH4" s="163">
        <v>0</v>
      </c>
      <c r="AI4" s="164" t="s">
        <v>126</v>
      </c>
      <c r="AJ4" s="164"/>
      <c r="AK4" s="167">
        <v>0</v>
      </c>
      <c r="AL4" s="167"/>
      <c r="AM4" s="164"/>
      <c r="AN4" s="172">
        <v>0</v>
      </c>
      <c r="AO4" s="172">
        <v>-1</v>
      </c>
      <c r="AP4" s="172"/>
      <c r="AQ4" s="173"/>
      <c r="AR4" s="164" t="s">
        <v>127</v>
      </c>
      <c r="AS4" s="167"/>
      <c r="AT4" s="174"/>
      <c r="AU4" s="174">
        <v>0</v>
      </c>
      <c r="AV4" s="174">
        <v>0</v>
      </c>
      <c r="AW4" s="174"/>
      <c r="AX4" s="174">
        <v>0</v>
      </c>
      <c r="AY4" s="174"/>
      <c r="AZ4" s="174"/>
      <c r="BA4" s="174"/>
      <c r="BB4" s="174">
        <v>0</v>
      </c>
      <c r="BC4" s="174"/>
      <c r="BD4" s="174" t="s">
        <v>114</v>
      </c>
      <c r="BE4" s="167"/>
      <c r="BF4" s="174"/>
      <c r="BG4" s="174" t="e">
        <v>#DIV/0!</v>
      </c>
      <c r="BH4" s="174"/>
      <c r="BI4" s="174" t="s">
        <v>116</v>
      </c>
      <c r="BJ4" s="174"/>
      <c r="BK4" s="174" t="e">
        <v>#DIV/0!</v>
      </c>
      <c r="BL4" s="174"/>
      <c r="BM4" s="174"/>
      <c r="BN4" s="174"/>
      <c r="BO4" s="174"/>
      <c r="BP4" s="174"/>
      <c r="BQ4" s="174" t="e">
        <v>#DIV/0!</v>
      </c>
      <c r="BR4" s="164"/>
      <c r="BS4" s="145"/>
      <c r="BT4" s="145"/>
      <c r="BU4" s="164"/>
      <c r="BV4" s="164"/>
      <c r="BW4" s="164"/>
      <c r="BX4" s="176"/>
    </row>
    <row r="5" spans="1:76">
      <c r="A5" s="149">
        <v>1605</v>
      </c>
      <c r="B5" s="150"/>
      <c r="C5" s="150" t="s">
        <v>54</v>
      </c>
      <c r="D5" s="151" t="s">
        <v>1</v>
      </c>
      <c r="E5" s="150" t="s">
        <v>115</v>
      </c>
      <c r="F5" s="152" t="s">
        <v>99</v>
      </c>
      <c r="G5" s="150" t="s">
        <v>100</v>
      </c>
      <c r="H5" s="153" t="s">
        <v>128</v>
      </c>
      <c r="I5" s="150" t="s">
        <v>100</v>
      </c>
      <c r="J5" s="152" t="s">
        <v>101</v>
      </c>
      <c r="K5" s="151" t="s">
        <v>559</v>
      </c>
      <c r="L5" s="151" t="s">
        <v>559</v>
      </c>
      <c r="M5" s="150" t="s">
        <v>100</v>
      </c>
      <c r="N5" s="151" t="s">
        <v>553</v>
      </c>
      <c r="O5" s="150" t="s">
        <v>100</v>
      </c>
      <c r="P5" s="151"/>
      <c r="Q5" s="151" t="s">
        <v>553</v>
      </c>
      <c r="R5" s="151" t="s">
        <v>119</v>
      </c>
      <c r="S5" s="151" t="s">
        <v>130</v>
      </c>
      <c r="T5" s="151" t="s">
        <v>120</v>
      </c>
      <c r="U5" s="151" t="s">
        <v>101</v>
      </c>
      <c r="V5" s="151" t="s">
        <v>121</v>
      </c>
      <c r="W5" s="151" t="s">
        <v>122</v>
      </c>
      <c r="X5" s="151" t="s">
        <v>123</v>
      </c>
      <c r="Y5" s="154">
        <v>1</v>
      </c>
      <c r="Z5" s="155" t="s">
        <v>598</v>
      </c>
      <c r="AA5" s="155" t="s">
        <v>598</v>
      </c>
      <c r="AB5" s="150" t="s">
        <v>114</v>
      </c>
      <c r="AC5" s="150" t="s">
        <v>124</v>
      </c>
      <c r="AD5" s="156">
        <v>45107</v>
      </c>
      <c r="AE5" s="157" t="s">
        <v>125</v>
      </c>
      <c r="AF5" s="150"/>
      <c r="AG5" s="158">
        <v>0</v>
      </c>
      <c r="AH5" s="150">
        <v>0</v>
      </c>
      <c r="AI5" s="151" t="s">
        <v>126</v>
      </c>
      <c r="AJ5" s="151"/>
      <c r="AK5" s="154">
        <v>0</v>
      </c>
      <c r="AL5" s="154"/>
      <c r="AM5" s="151"/>
      <c r="AN5" s="159">
        <v>0</v>
      </c>
      <c r="AO5" s="159">
        <v>-1</v>
      </c>
      <c r="AP5" s="159"/>
      <c r="AQ5" s="160"/>
      <c r="AR5" s="151" t="s">
        <v>127</v>
      </c>
      <c r="AS5" s="154"/>
      <c r="AT5" s="161"/>
      <c r="AU5" s="161">
        <v>0</v>
      </c>
      <c r="AV5" s="161">
        <v>0</v>
      </c>
      <c r="AW5" s="161"/>
      <c r="AX5" s="161">
        <v>0</v>
      </c>
      <c r="AY5" s="161"/>
      <c r="AZ5" s="161"/>
      <c r="BA5" s="161"/>
      <c r="BB5" s="161">
        <v>0</v>
      </c>
      <c r="BC5" s="161"/>
      <c r="BD5" s="161" t="s">
        <v>114</v>
      </c>
      <c r="BE5" s="154"/>
      <c r="BF5" s="161"/>
      <c r="BG5" s="161" t="e">
        <v>#DIV/0!</v>
      </c>
      <c r="BH5" s="161"/>
      <c r="BI5" s="161" t="s">
        <v>116</v>
      </c>
      <c r="BJ5" s="161"/>
      <c r="BK5" s="161" t="e">
        <v>#DIV/0!</v>
      </c>
      <c r="BL5" s="161"/>
      <c r="BM5" s="161"/>
      <c r="BN5" s="161"/>
      <c r="BO5" s="161"/>
      <c r="BP5" s="161"/>
      <c r="BQ5" s="161" t="e">
        <v>#DIV/0!</v>
      </c>
      <c r="BR5" s="151"/>
      <c r="BS5" s="144"/>
      <c r="BT5" s="144"/>
      <c r="BU5" s="151"/>
      <c r="BV5" s="151"/>
      <c r="BW5" s="151"/>
      <c r="BX5" s="175"/>
    </row>
    <row r="6" spans="1:76">
      <c r="A6" s="162">
        <v>1606</v>
      </c>
      <c r="B6" s="163"/>
      <c r="C6" s="163" t="s">
        <v>54</v>
      </c>
      <c r="D6" s="164" t="s">
        <v>1</v>
      </c>
      <c r="E6" s="163" t="s">
        <v>115</v>
      </c>
      <c r="F6" s="165" t="s">
        <v>99</v>
      </c>
      <c r="G6" s="163" t="s">
        <v>100</v>
      </c>
      <c r="H6" s="166" t="s">
        <v>128</v>
      </c>
      <c r="I6" s="163" t="s">
        <v>100</v>
      </c>
      <c r="J6" s="165" t="s">
        <v>101</v>
      </c>
      <c r="K6" s="164" t="s">
        <v>559</v>
      </c>
      <c r="L6" s="164" t="s">
        <v>559</v>
      </c>
      <c r="M6" s="163" t="s">
        <v>100</v>
      </c>
      <c r="N6" s="164" t="s">
        <v>553</v>
      </c>
      <c r="O6" s="163" t="s">
        <v>100</v>
      </c>
      <c r="P6" s="164"/>
      <c r="Q6" s="164" t="s">
        <v>553</v>
      </c>
      <c r="R6" s="164" t="s">
        <v>119</v>
      </c>
      <c r="S6" s="164" t="s">
        <v>130</v>
      </c>
      <c r="T6" s="164" t="s">
        <v>120</v>
      </c>
      <c r="U6" s="164" t="s">
        <v>101</v>
      </c>
      <c r="V6" s="164" t="s">
        <v>121</v>
      </c>
      <c r="W6" s="164" t="s">
        <v>122</v>
      </c>
      <c r="X6" s="164" t="s">
        <v>123</v>
      </c>
      <c r="Y6" s="167">
        <v>1</v>
      </c>
      <c r="Z6" s="168" t="s">
        <v>598</v>
      </c>
      <c r="AA6" s="168" t="s">
        <v>598</v>
      </c>
      <c r="AB6" s="163" t="s">
        <v>114</v>
      </c>
      <c r="AC6" s="163" t="s">
        <v>124</v>
      </c>
      <c r="AD6" s="169">
        <v>45107</v>
      </c>
      <c r="AE6" s="170" t="s">
        <v>125</v>
      </c>
      <c r="AF6" s="163"/>
      <c r="AG6" s="171">
        <v>0</v>
      </c>
      <c r="AH6" s="163">
        <v>0</v>
      </c>
      <c r="AI6" s="164" t="s">
        <v>126</v>
      </c>
      <c r="AJ6" s="164"/>
      <c r="AK6" s="167">
        <v>0</v>
      </c>
      <c r="AL6" s="167"/>
      <c r="AM6" s="164"/>
      <c r="AN6" s="172">
        <v>0</v>
      </c>
      <c r="AO6" s="172">
        <v>-1</v>
      </c>
      <c r="AP6" s="172"/>
      <c r="AQ6" s="173"/>
      <c r="AR6" s="164" t="s">
        <v>127</v>
      </c>
      <c r="AS6" s="167"/>
      <c r="AT6" s="174"/>
      <c r="AU6" s="174">
        <v>0</v>
      </c>
      <c r="AV6" s="174">
        <v>0</v>
      </c>
      <c r="AW6" s="174"/>
      <c r="AX6" s="174">
        <v>0</v>
      </c>
      <c r="AY6" s="174"/>
      <c r="AZ6" s="174"/>
      <c r="BA6" s="174"/>
      <c r="BB6" s="174">
        <v>0</v>
      </c>
      <c r="BC6" s="174"/>
      <c r="BD6" s="174" t="s">
        <v>114</v>
      </c>
      <c r="BE6" s="167"/>
      <c r="BF6" s="174"/>
      <c r="BG6" s="174" t="e">
        <v>#DIV/0!</v>
      </c>
      <c r="BH6" s="174"/>
      <c r="BI6" s="174" t="s">
        <v>116</v>
      </c>
      <c r="BJ6" s="174"/>
      <c r="BK6" s="174" t="e">
        <v>#DIV/0!</v>
      </c>
      <c r="BL6" s="174"/>
      <c r="BM6" s="174"/>
      <c r="BN6" s="174"/>
      <c r="BO6" s="174"/>
      <c r="BP6" s="174"/>
      <c r="BQ6" s="174" t="e">
        <v>#DIV/0!</v>
      </c>
      <c r="BR6" s="164"/>
      <c r="BS6" s="145"/>
      <c r="BT6" s="145"/>
      <c r="BU6" s="164"/>
      <c r="BV6" s="164"/>
      <c r="BW6" s="164"/>
      <c r="BX6" s="176"/>
    </row>
    <row r="7" spans="1:76">
      <c r="A7" s="149">
        <v>1607</v>
      </c>
      <c r="B7" s="150"/>
      <c r="C7" s="150" t="s">
        <v>54</v>
      </c>
      <c r="D7" s="151" t="s">
        <v>1</v>
      </c>
      <c r="E7" s="150" t="s">
        <v>115</v>
      </c>
      <c r="F7" s="152" t="s">
        <v>99</v>
      </c>
      <c r="G7" s="150" t="s">
        <v>100</v>
      </c>
      <c r="H7" s="153" t="s">
        <v>128</v>
      </c>
      <c r="I7" s="150" t="s">
        <v>100</v>
      </c>
      <c r="J7" s="152" t="s">
        <v>101</v>
      </c>
      <c r="K7" s="151" t="s">
        <v>559</v>
      </c>
      <c r="L7" s="151" t="s">
        <v>559</v>
      </c>
      <c r="M7" s="150" t="s">
        <v>100</v>
      </c>
      <c r="N7" s="151" t="s">
        <v>553</v>
      </c>
      <c r="O7" s="150" t="s">
        <v>100</v>
      </c>
      <c r="P7" s="151"/>
      <c r="Q7" s="151" t="s">
        <v>553</v>
      </c>
      <c r="R7" s="151" t="s">
        <v>119</v>
      </c>
      <c r="S7" s="151" t="s">
        <v>130</v>
      </c>
      <c r="T7" s="151" t="s">
        <v>120</v>
      </c>
      <c r="U7" s="151" t="s">
        <v>101</v>
      </c>
      <c r="V7" s="151" t="s">
        <v>121</v>
      </c>
      <c r="W7" s="151" t="s">
        <v>122</v>
      </c>
      <c r="X7" s="151" t="s">
        <v>123</v>
      </c>
      <c r="Y7" s="154">
        <v>1</v>
      </c>
      <c r="Z7" s="155" t="s">
        <v>598</v>
      </c>
      <c r="AA7" s="155" t="s">
        <v>598</v>
      </c>
      <c r="AB7" s="150" t="s">
        <v>114</v>
      </c>
      <c r="AC7" s="150" t="s">
        <v>124</v>
      </c>
      <c r="AD7" s="156">
        <v>45107</v>
      </c>
      <c r="AE7" s="157" t="s">
        <v>125</v>
      </c>
      <c r="AF7" s="150"/>
      <c r="AG7" s="158">
        <v>0</v>
      </c>
      <c r="AH7" s="150">
        <v>0</v>
      </c>
      <c r="AI7" s="151" t="s">
        <v>126</v>
      </c>
      <c r="AJ7" s="151"/>
      <c r="AK7" s="154">
        <v>0</v>
      </c>
      <c r="AL7" s="154"/>
      <c r="AM7" s="151"/>
      <c r="AN7" s="159">
        <v>0</v>
      </c>
      <c r="AO7" s="159">
        <v>-1</v>
      </c>
      <c r="AP7" s="159"/>
      <c r="AQ7" s="160"/>
      <c r="AR7" s="151" t="s">
        <v>127</v>
      </c>
      <c r="AS7" s="154"/>
      <c r="AT7" s="161"/>
      <c r="AU7" s="161">
        <v>0</v>
      </c>
      <c r="AV7" s="161">
        <v>0</v>
      </c>
      <c r="AW7" s="161"/>
      <c r="AX7" s="161">
        <v>0</v>
      </c>
      <c r="AY7" s="161"/>
      <c r="AZ7" s="161"/>
      <c r="BA7" s="161"/>
      <c r="BB7" s="161">
        <v>0</v>
      </c>
      <c r="BC7" s="161"/>
      <c r="BD7" s="161" t="s">
        <v>114</v>
      </c>
      <c r="BE7" s="154"/>
      <c r="BF7" s="161"/>
      <c r="BG7" s="161" t="e">
        <v>#DIV/0!</v>
      </c>
      <c r="BH7" s="161"/>
      <c r="BI7" s="161" t="s">
        <v>116</v>
      </c>
      <c r="BJ7" s="161"/>
      <c r="BK7" s="161" t="e">
        <v>#DIV/0!</v>
      </c>
      <c r="BL7" s="161"/>
      <c r="BM7" s="161"/>
      <c r="BN7" s="161"/>
      <c r="BO7" s="161"/>
      <c r="BP7" s="161"/>
      <c r="BQ7" s="161" t="e">
        <v>#DIV/0!</v>
      </c>
      <c r="BR7" s="151"/>
      <c r="BS7" s="144"/>
      <c r="BT7" s="144"/>
      <c r="BU7" s="151"/>
      <c r="BV7" s="151"/>
      <c r="BW7" s="151"/>
      <c r="BX7" s="175"/>
    </row>
    <row r="8" spans="1:76">
      <c r="A8" s="162">
        <v>1608</v>
      </c>
      <c r="B8" s="163"/>
      <c r="C8" s="163" t="s">
        <v>54</v>
      </c>
      <c r="D8" s="164" t="s">
        <v>1</v>
      </c>
      <c r="E8" s="163" t="s">
        <v>115</v>
      </c>
      <c r="F8" s="165" t="s">
        <v>99</v>
      </c>
      <c r="G8" s="163" t="s">
        <v>100</v>
      </c>
      <c r="H8" s="166" t="s">
        <v>128</v>
      </c>
      <c r="I8" s="163" t="s">
        <v>100</v>
      </c>
      <c r="J8" s="165" t="s">
        <v>101</v>
      </c>
      <c r="K8" s="164" t="s">
        <v>559</v>
      </c>
      <c r="L8" s="164" t="s">
        <v>559</v>
      </c>
      <c r="M8" s="163" t="s">
        <v>100</v>
      </c>
      <c r="N8" s="164" t="s">
        <v>553</v>
      </c>
      <c r="O8" s="163" t="s">
        <v>100</v>
      </c>
      <c r="P8" s="164"/>
      <c r="Q8" s="164" t="s">
        <v>553</v>
      </c>
      <c r="R8" s="164" t="s">
        <v>119</v>
      </c>
      <c r="S8" s="164" t="s">
        <v>130</v>
      </c>
      <c r="T8" s="164" t="s">
        <v>120</v>
      </c>
      <c r="U8" s="164" t="s">
        <v>101</v>
      </c>
      <c r="V8" s="164" t="s">
        <v>121</v>
      </c>
      <c r="W8" s="164" t="s">
        <v>122</v>
      </c>
      <c r="X8" s="164" t="s">
        <v>123</v>
      </c>
      <c r="Y8" s="167">
        <v>1</v>
      </c>
      <c r="Z8" s="168" t="s">
        <v>598</v>
      </c>
      <c r="AA8" s="168" t="s">
        <v>598</v>
      </c>
      <c r="AB8" s="163" t="s">
        <v>114</v>
      </c>
      <c r="AC8" s="163" t="s">
        <v>124</v>
      </c>
      <c r="AD8" s="169">
        <v>45107</v>
      </c>
      <c r="AE8" s="170" t="s">
        <v>125</v>
      </c>
      <c r="AF8" s="163"/>
      <c r="AG8" s="171">
        <v>0</v>
      </c>
      <c r="AH8" s="163">
        <v>0</v>
      </c>
      <c r="AI8" s="164" t="s">
        <v>126</v>
      </c>
      <c r="AJ8" s="164"/>
      <c r="AK8" s="167">
        <v>0</v>
      </c>
      <c r="AL8" s="167"/>
      <c r="AM8" s="164"/>
      <c r="AN8" s="172">
        <v>0</v>
      </c>
      <c r="AO8" s="172">
        <v>-1</v>
      </c>
      <c r="AP8" s="172"/>
      <c r="AQ8" s="173"/>
      <c r="AR8" s="164" t="s">
        <v>127</v>
      </c>
      <c r="AS8" s="167"/>
      <c r="AT8" s="174"/>
      <c r="AU8" s="174">
        <v>0</v>
      </c>
      <c r="AV8" s="174">
        <v>0</v>
      </c>
      <c r="AW8" s="174"/>
      <c r="AX8" s="174">
        <v>0</v>
      </c>
      <c r="AY8" s="174"/>
      <c r="AZ8" s="174"/>
      <c r="BA8" s="174"/>
      <c r="BB8" s="174">
        <v>0</v>
      </c>
      <c r="BC8" s="174"/>
      <c r="BD8" s="174" t="s">
        <v>114</v>
      </c>
      <c r="BE8" s="167"/>
      <c r="BF8" s="174"/>
      <c r="BG8" s="174" t="e">
        <v>#DIV/0!</v>
      </c>
      <c r="BH8" s="174"/>
      <c r="BI8" s="174" t="s">
        <v>116</v>
      </c>
      <c r="BJ8" s="174"/>
      <c r="BK8" s="174" t="e">
        <v>#DIV/0!</v>
      </c>
      <c r="BL8" s="174"/>
      <c r="BM8" s="174"/>
      <c r="BN8" s="174"/>
      <c r="BO8" s="174"/>
      <c r="BP8" s="174"/>
      <c r="BQ8" s="174" t="e">
        <v>#DIV/0!</v>
      </c>
      <c r="BR8" s="164"/>
      <c r="BS8" s="145"/>
      <c r="BT8" s="145"/>
      <c r="BU8" s="164"/>
      <c r="BV8" s="164"/>
      <c r="BW8" s="164"/>
      <c r="BX8" s="176"/>
    </row>
    <row r="9" spans="1:76">
      <c r="A9" s="149">
        <v>1609</v>
      </c>
      <c r="B9" s="150"/>
      <c r="C9" s="150" t="s">
        <v>54</v>
      </c>
      <c r="D9" s="151" t="s">
        <v>1</v>
      </c>
      <c r="E9" s="150" t="s">
        <v>115</v>
      </c>
      <c r="F9" s="152" t="s">
        <v>99</v>
      </c>
      <c r="G9" s="150" t="s">
        <v>100</v>
      </c>
      <c r="H9" s="153" t="s">
        <v>128</v>
      </c>
      <c r="I9" s="150" t="s">
        <v>100</v>
      </c>
      <c r="J9" s="152" t="s">
        <v>101</v>
      </c>
      <c r="K9" s="151" t="s">
        <v>559</v>
      </c>
      <c r="L9" s="151" t="s">
        <v>559</v>
      </c>
      <c r="M9" s="150" t="s">
        <v>100</v>
      </c>
      <c r="N9" s="151" t="s">
        <v>553</v>
      </c>
      <c r="O9" s="150" t="s">
        <v>100</v>
      </c>
      <c r="P9" s="151"/>
      <c r="Q9" s="151" t="s">
        <v>553</v>
      </c>
      <c r="R9" s="151" t="s">
        <v>119</v>
      </c>
      <c r="S9" s="151" t="s">
        <v>130</v>
      </c>
      <c r="T9" s="151" t="s">
        <v>120</v>
      </c>
      <c r="U9" s="151" t="s">
        <v>101</v>
      </c>
      <c r="V9" s="151" t="s">
        <v>121</v>
      </c>
      <c r="W9" s="151" t="s">
        <v>122</v>
      </c>
      <c r="X9" s="151" t="s">
        <v>123</v>
      </c>
      <c r="Y9" s="154">
        <v>1</v>
      </c>
      <c r="Z9" s="155" t="s">
        <v>598</v>
      </c>
      <c r="AA9" s="155" t="s">
        <v>598</v>
      </c>
      <c r="AB9" s="150" t="s">
        <v>114</v>
      </c>
      <c r="AC9" s="150" t="s">
        <v>124</v>
      </c>
      <c r="AD9" s="156">
        <v>45107</v>
      </c>
      <c r="AE9" s="157" t="s">
        <v>125</v>
      </c>
      <c r="AF9" s="150"/>
      <c r="AG9" s="158">
        <v>0</v>
      </c>
      <c r="AH9" s="150">
        <v>0</v>
      </c>
      <c r="AI9" s="151" t="s">
        <v>126</v>
      </c>
      <c r="AJ9" s="151"/>
      <c r="AK9" s="154">
        <v>0</v>
      </c>
      <c r="AL9" s="154"/>
      <c r="AM9" s="151"/>
      <c r="AN9" s="159">
        <v>0</v>
      </c>
      <c r="AO9" s="159">
        <v>-1</v>
      </c>
      <c r="AP9" s="159"/>
      <c r="AQ9" s="160"/>
      <c r="AR9" s="151" t="s">
        <v>127</v>
      </c>
      <c r="AS9" s="154"/>
      <c r="AT9" s="161"/>
      <c r="AU9" s="161">
        <v>0</v>
      </c>
      <c r="AV9" s="161">
        <v>0</v>
      </c>
      <c r="AW9" s="161"/>
      <c r="AX9" s="161">
        <v>0</v>
      </c>
      <c r="AY9" s="161"/>
      <c r="AZ9" s="161"/>
      <c r="BA9" s="161"/>
      <c r="BB9" s="161">
        <v>0</v>
      </c>
      <c r="BC9" s="161"/>
      <c r="BD9" s="161" t="s">
        <v>114</v>
      </c>
      <c r="BE9" s="154"/>
      <c r="BF9" s="161"/>
      <c r="BG9" s="161" t="e">
        <v>#DIV/0!</v>
      </c>
      <c r="BH9" s="161"/>
      <c r="BI9" s="161" t="s">
        <v>116</v>
      </c>
      <c r="BJ9" s="161"/>
      <c r="BK9" s="161" t="e">
        <v>#DIV/0!</v>
      </c>
      <c r="BL9" s="161"/>
      <c r="BM9" s="161"/>
      <c r="BN9" s="161"/>
      <c r="BO9" s="161"/>
      <c r="BP9" s="161"/>
      <c r="BQ9" s="161" t="e">
        <v>#DIV/0!</v>
      </c>
      <c r="BR9" s="151"/>
      <c r="BS9" s="144"/>
      <c r="BT9" s="144"/>
      <c r="BU9" s="151"/>
      <c r="BV9" s="151"/>
      <c r="BW9" s="151"/>
      <c r="BX9" s="175"/>
    </row>
    <row r="10" spans="1:76">
      <c r="A10" s="162">
        <v>1610</v>
      </c>
      <c r="B10" s="163"/>
      <c r="C10" s="163" t="s">
        <v>54</v>
      </c>
      <c r="D10" s="164" t="s">
        <v>1</v>
      </c>
      <c r="E10" s="163" t="s">
        <v>115</v>
      </c>
      <c r="F10" s="165" t="s">
        <v>99</v>
      </c>
      <c r="G10" s="163" t="s">
        <v>100</v>
      </c>
      <c r="H10" s="166" t="s">
        <v>128</v>
      </c>
      <c r="I10" s="163" t="s">
        <v>100</v>
      </c>
      <c r="J10" s="165" t="s">
        <v>101</v>
      </c>
      <c r="K10" s="164" t="s">
        <v>559</v>
      </c>
      <c r="L10" s="164" t="s">
        <v>559</v>
      </c>
      <c r="M10" s="163" t="s">
        <v>100</v>
      </c>
      <c r="N10" s="164" t="s">
        <v>553</v>
      </c>
      <c r="O10" s="163" t="s">
        <v>100</v>
      </c>
      <c r="P10" s="164"/>
      <c r="Q10" s="164" t="s">
        <v>553</v>
      </c>
      <c r="R10" s="164" t="s">
        <v>119</v>
      </c>
      <c r="S10" s="164" t="s">
        <v>130</v>
      </c>
      <c r="T10" s="164" t="s">
        <v>120</v>
      </c>
      <c r="U10" s="164" t="s">
        <v>101</v>
      </c>
      <c r="V10" s="164" t="s">
        <v>121</v>
      </c>
      <c r="W10" s="164" t="s">
        <v>122</v>
      </c>
      <c r="X10" s="164" t="s">
        <v>123</v>
      </c>
      <c r="Y10" s="167">
        <v>1</v>
      </c>
      <c r="Z10" s="168" t="s">
        <v>598</v>
      </c>
      <c r="AA10" s="168" t="s">
        <v>598</v>
      </c>
      <c r="AB10" s="163" t="s">
        <v>114</v>
      </c>
      <c r="AC10" s="163" t="s">
        <v>124</v>
      </c>
      <c r="AD10" s="169">
        <v>45107</v>
      </c>
      <c r="AE10" s="170" t="s">
        <v>125</v>
      </c>
      <c r="AF10" s="163"/>
      <c r="AG10" s="171">
        <v>0</v>
      </c>
      <c r="AH10" s="163">
        <v>0</v>
      </c>
      <c r="AI10" s="164" t="s">
        <v>126</v>
      </c>
      <c r="AJ10" s="164"/>
      <c r="AK10" s="167">
        <v>0</v>
      </c>
      <c r="AL10" s="167"/>
      <c r="AM10" s="164"/>
      <c r="AN10" s="172">
        <v>0</v>
      </c>
      <c r="AO10" s="172">
        <v>-1</v>
      </c>
      <c r="AP10" s="172"/>
      <c r="AQ10" s="173"/>
      <c r="AR10" s="164" t="s">
        <v>127</v>
      </c>
      <c r="AS10" s="167"/>
      <c r="AT10" s="174"/>
      <c r="AU10" s="174">
        <v>0</v>
      </c>
      <c r="AV10" s="174">
        <v>0</v>
      </c>
      <c r="AW10" s="174"/>
      <c r="AX10" s="174">
        <v>0</v>
      </c>
      <c r="AY10" s="174"/>
      <c r="AZ10" s="174"/>
      <c r="BA10" s="174"/>
      <c r="BB10" s="174">
        <v>0</v>
      </c>
      <c r="BC10" s="174"/>
      <c r="BD10" s="174" t="s">
        <v>114</v>
      </c>
      <c r="BE10" s="167"/>
      <c r="BF10" s="174"/>
      <c r="BG10" s="174" t="e">
        <v>#DIV/0!</v>
      </c>
      <c r="BH10" s="174"/>
      <c r="BI10" s="174" t="s">
        <v>116</v>
      </c>
      <c r="BJ10" s="174"/>
      <c r="BK10" s="174" t="e">
        <v>#DIV/0!</v>
      </c>
      <c r="BL10" s="174"/>
      <c r="BM10" s="174"/>
      <c r="BN10" s="174"/>
      <c r="BO10" s="174"/>
      <c r="BP10" s="174"/>
      <c r="BQ10" s="174" t="e">
        <v>#DIV/0!</v>
      </c>
      <c r="BR10" s="164"/>
      <c r="BS10" s="145"/>
      <c r="BT10" s="145"/>
      <c r="BU10" s="164"/>
      <c r="BV10" s="164"/>
      <c r="BW10" s="164"/>
      <c r="BX10" s="176"/>
    </row>
    <row r="11" spans="1:76">
      <c r="A11" s="149">
        <v>1611</v>
      </c>
      <c r="B11" s="150"/>
      <c r="C11" s="150" t="s">
        <v>54</v>
      </c>
      <c r="D11" s="151" t="s">
        <v>1</v>
      </c>
      <c r="E11" s="150" t="s">
        <v>115</v>
      </c>
      <c r="F11" s="152" t="s">
        <v>99</v>
      </c>
      <c r="G11" s="150" t="s">
        <v>100</v>
      </c>
      <c r="H11" s="153" t="s">
        <v>128</v>
      </c>
      <c r="I11" s="150" t="s">
        <v>100</v>
      </c>
      <c r="J11" s="152" t="s">
        <v>101</v>
      </c>
      <c r="K11" s="151" t="s">
        <v>559</v>
      </c>
      <c r="L11" s="151" t="s">
        <v>559</v>
      </c>
      <c r="M11" s="150" t="s">
        <v>100</v>
      </c>
      <c r="N11" s="151" t="s">
        <v>553</v>
      </c>
      <c r="O11" s="150" t="s">
        <v>100</v>
      </c>
      <c r="P11" s="151"/>
      <c r="Q11" s="151" t="s">
        <v>553</v>
      </c>
      <c r="R11" s="151" t="s">
        <v>119</v>
      </c>
      <c r="S11" s="151" t="s">
        <v>130</v>
      </c>
      <c r="T11" s="151" t="s">
        <v>120</v>
      </c>
      <c r="U11" s="151" t="s">
        <v>101</v>
      </c>
      <c r="V11" s="151" t="s">
        <v>121</v>
      </c>
      <c r="W11" s="151" t="s">
        <v>122</v>
      </c>
      <c r="X11" s="151" t="s">
        <v>123</v>
      </c>
      <c r="Y11" s="154">
        <v>1</v>
      </c>
      <c r="Z11" s="155" t="s">
        <v>598</v>
      </c>
      <c r="AA11" s="155" t="s">
        <v>598</v>
      </c>
      <c r="AB11" s="150" t="s">
        <v>114</v>
      </c>
      <c r="AC11" s="150" t="s">
        <v>124</v>
      </c>
      <c r="AD11" s="156">
        <v>45107</v>
      </c>
      <c r="AE11" s="157" t="s">
        <v>125</v>
      </c>
      <c r="AF11" s="150"/>
      <c r="AG11" s="158">
        <v>0</v>
      </c>
      <c r="AH11" s="150">
        <v>0</v>
      </c>
      <c r="AI11" s="151" t="s">
        <v>126</v>
      </c>
      <c r="AJ11" s="151"/>
      <c r="AK11" s="154">
        <v>0</v>
      </c>
      <c r="AL11" s="154"/>
      <c r="AM11" s="151"/>
      <c r="AN11" s="159">
        <v>0</v>
      </c>
      <c r="AO11" s="159">
        <v>-1</v>
      </c>
      <c r="AP11" s="159"/>
      <c r="AQ11" s="160"/>
      <c r="AR11" s="151" t="s">
        <v>127</v>
      </c>
      <c r="AS11" s="154"/>
      <c r="AT11" s="161"/>
      <c r="AU11" s="161">
        <v>0</v>
      </c>
      <c r="AV11" s="161">
        <v>0</v>
      </c>
      <c r="AW11" s="161"/>
      <c r="AX11" s="161">
        <v>0</v>
      </c>
      <c r="AY11" s="161"/>
      <c r="AZ11" s="161"/>
      <c r="BA11" s="161"/>
      <c r="BB11" s="161">
        <v>0</v>
      </c>
      <c r="BC11" s="161"/>
      <c r="BD11" s="161" t="s">
        <v>114</v>
      </c>
      <c r="BE11" s="154"/>
      <c r="BF11" s="161"/>
      <c r="BG11" s="161" t="e">
        <v>#DIV/0!</v>
      </c>
      <c r="BH11" s="161"/>
      <c r="BI11" s="161" t="s">
        <v>116</v>
      </c>
      <c r="BJ11" s="161"/>
      <c r="BK11" s="161" t="e">
        <v>#DIV/0!</v>
      </c>
      <c r="BL11" s="161"/>
      <c r="BM11" s="161"/>
      <c r="BN11" s="161"/>
      <c r="BO11" s="161"/>
      <c r="BP11" s="161"/>
      <c r="BQ11" s="161" t="e">
        <v>#DIV/0!</v>
      </c>
      <c r="BR11" s="151"/>
      <c r="BS11" s="144"/>
      <c r="BT11" s="144"/>
      <c r="BU11" s="151"/>
      <c r="BV11" s="151"/>
      <c r="BW11" s="151"/>
      <c r="BX11" s="175"/>
    </row>
    <row r="12" spans="1:76">
      <c r="A12" s="162">
        <v>1612</v>
      </c>
      <c r="B12" s="163"/>
      <c r="C12" s="163" t="s">
        <v>54</v>
      </c>
      <c r="D12" s="164" t="s">
        <v>1</v>
      </c>
      <c r="E12" s="163" t="s">
        <v>115</v>
      </c>
      <c r="F12" s="165" t="s">
        <v>99</v>
      </c>
      <c r="G12" s="163" t="s">
        <v>100</v>
      </c>
      <c r="H12" s="166" t="s">
        <v>128</v>
      </c>
      <c r="I12" s="163" t="s">
        <v>100</v>
      </c>
      <c r="J12" s="165" t="s">
        <v>101</v>
      </c>
      <c r="K12" s="164" t="s">
        <v>559</v>
      </c>
      <c r="L12" s="164" t="s">
        <v>559</v>
      </c>
      <c r="M12" s="163" t="s">
        <v>100</v>
      </c>
      <c r="N12" s="164" t="s">
        <v>553</v>
      </c>
      <c r="O12" s="163" t="s">
        <v>100</v>
      </c>
      <c r="P12" s="164"/>
      <c r="Q12" s="164" t="s">
        <v>553</v>
      </c>
      <c r="R12" s="164" t="s">
        <v>119</v>
      </c>
      <c r="S12" s="164" t="s">
        <v>130</v>
      </c>
      <c r="T12" s="164" t="s">
        <v>120</v>
      </c>
      <c r="U12" s="164" t="s">
        <v>101</v>
      </c>
      <c r="V12" s="164" t="s">
        <v>121</v>
      </c>
      <c r="W12" s="164" t="s">
        <v>122</v>
      </c>
      <c r="X12" s="164" t="s">
        <v>123</v>
      </c>
      <c r="Y12" s="167">
        <v>1</v>
      </c>
      <c r="Z12" s="168" t="s">
        <v>598</v>
      </c>
      <c r="AA12" s="168" t="s">
        <v>598</v>
      </c>
      <c r="AB12" s="163" t="s">
        <v>114</v>
      </c>
      <c r="AC12" s="163" t="s">
        <v>124</v>
      </c>
      <c r="AD12" s="169">
        <v>45107</v>
      </c>
      <c r="AE12" s="170" t="s">
        <v>125</v>
      </c>
      <c r="AF12" s="163"/>
      <c r="AG12" s="171">
        <v>0</v>
      </c>
      <c r="AH12" s="163">
        <v>0</v>
      </c>
      <c r="AI12" s="164" t="s">
        <v>126</v>
      </c>
      <c r="AJ12" s="164"/>
      <c r="AK12" s="167">
        <v>0</v>
      </c>
      <c r="AL12" s="167"/>
      <c r="AM12" s="164"/>
      <c r="AN12" s="172">
        <v>0</v>
      </c>
      <c r="AO12" s="172">
        <v>-1</v>
      </c>
      <c r="AP12" s="172"/>
      <c r="AQ12" s="173"/>
      <c r="AR12" s="164" t="s">
        <v>127</v>
      </c>
      <c r="AS12" s="167"/>
      <c r="AT12" s="174"/>
      <c r="AU12" s="174">
        <v>0</v>
      </c>
      <c r="AV12" s="174">
        <v>0</v>
      </c>
      <c r="AW12" s="174"/>
      <c r="AX12" s="174">
        <v>0</v>
      </c>
      <c r="AY12" s="174"/>
      <c r="AZ12" s="174"/>
      <c r="BA12" s="174"/>
      <c r="BB12" s="174">
        <v>0</v>
      </c>
      <c r="BC12" s="174"/>
      <c r="BD12" s="174" t="s">
        <v>114</v>
      </c>
      <c r="BE12" s="167"/>
      <c r="BF12" s="174"/>
      <c r="BG12" s="174" t="e">
        <v>#DIV/0!</v>
      </c>
      <c r="BH12" s="174"/>
      <c r="BI12" s="174" t="s">
        <v>116</v>
      </c>
      <c r="BJ12" s="174"/>
      <c r="BK12" s="174" t="e">
        <v>#DIV/0!</v>
      </c>
      <c r="BL12" s="174"/>
      <c r="BM12" s="174"/>
      <c r="BN12" s="174"/>
      <c r="BO12" s="174"/>
      <c r="BP12" s="174"/>
      <c r="BQ12" s="174" t="e">
        <v>#DIV/0!</v>
      </c>
      <c r="BR12" s="164"/>
      <c r="BS12" s="145"/>
      <c r="BT12" s="145"/>
      <c r="BU12" s="164"/>
      <c r="BV12" s="164"/>
      <c r="BW12" s="164"/>
      <c r="BX12" s="176"/>
    </row>
    <row r="13" spans="1:76">
      <c r="A13" s="149">
        <v>1613</v>
      </c>
      <c r="B13" s="150"/>
      <c r="C13" s="150" t="s">
        <v>54</v>
      </c>
      <c r="D13" s="151" t="s">
        <v>1</v>
      </c>
      <c r="E13" s="150" t="s">
        <v>115</v>
      </c>
      <c r="F13" s="152" t="s">
        <v>99</v>
      </c>
      <c r="G13" s="150" t="s">
        <v>100</v>
      </c>
      <c r="H13" s="153" t="s">
        <v>128</v>
      </c>
      <c r="I13" s="150" t="s">
        <v>100</v>
      </c>
      <c r="J13" s="152" t="s">
        <v>101</v>
      </c>
      <c r="K13" s="151" t="s">
        <v>559</v>
      </c>
      <c r="L13" s="151" t="s">
        <v>559</v>
      </c>
      <c r="M13" s="150" t="s">
        <v>100</v>
      </c>
      <c r="N13" s="151" t="s">
        <v>553</v>
      </c>
      <c r="O13" s="150" t="s">
        <v>100</v>
      </c>
      <c r="P13" s="151"/>
      <c r="Q13" s="151" t="s">
        <v>553</v>
      </c>
      <c r="R13" s="151" t="s">
        <v>119</v>
      </c>
      <c r="S13" s="151" t="s">
        <v>130</v>
      </c>
      <c r="T13" s="151" t="s">
        <v>120</v>
      </c>
      <c r="U13" s="151" t="s">
        <v>101</v>
      </c>
      <c r="V13" s="151" t="s">
        <v>121</v>
      </c>
      <c r="W13" s="151" t="s">
        <v>122</v>
      </c>
      <c r="X13" s="151" t="s">
        <v>123</v>
      </c>
      <c r="Y13" s="154">
        <v>1</v>
      </c>
      <c r="Z13" s="155" t="s">
        <v>598</v>
      </c>
      <c r="AA13" s="155" t="s">
        <v>598</v>
      </c>
      <c r="AB13" s="150" t="s">
        <v>114</v>
      </c>
      <c r="AC13" s="150" t="s">
        <v>124</v>
      </c>
      <c r="AD13" s="156">
        <v>45107</v>
      </c>
      <c r="AE13" s="157" t="s">
        <v>125</v>
      </c>
      <c r="AF13" s="150"/>
      <c r="AG13" s="158">
        <v>0</v>
      </c>
      <c r="AH13" s="150">
        <v>0</v>
      </c>
      <c r="AI13" s="151" t="s">
        <v>126</v>
      </c>
      <c r="AJ13" s="151"/>
      <c r="AK13" s="154">
        <v>0</v>
      </c>
      <c r="AL13" s="154"/>
      <c r="AM13" s="151"/>
      <c r="AN13" s="159">
        <v>0</v>
      </c>
      <c r="AO13" s="159">
        <v>-1</v>
      </c>
      <c r="AP13" s="159"/>
      <c r="AQ13" s="160"/>
      <c r="AR13" s="151" t="s">
        <v>127</v>
      </c>
      <c r="AS13" s="154"/>
      <c r="AT13" s="161"/>
      <c r="AU13" s="161">
        <v>0</v>
      </c>
      <c r="AV13" s="161">
        <v>0</v>
      </c>
      <c r="AW13" s="161"/>
      <c r="AX13" s="161">
        <v>0</v>
      </c>
      <c r="AY13" s="161"/>
      <c r="AZ13" s="161"/>
      <c r="BA13" s="161"/>
      <c r="BB13" s="161">
        <v>0</v>
      </c>
      <c r="BC13" s="161"/>
      <c r="BD13" s="161" t="s">
        <v>114</v>
      </c>
      <c r="BE13" s="154"/>
      <c r="BF13" s="161"/>
      <c r="BG13" s="161" t="e">
        <v>#DIV/0!</v>
      </c>
      <c r="BH13" s="161"/>
      <c r="BI13" s="161" t="s">
        <v>116</v>
      </c>
      <c r="BJ13" s="161"/>
      <c r="BK13" s="161" t="e">
        <v>#DIV/0!</v>
      </c>
      <c r="BL13" s="161"/>
      <c r="BM13" s="161"/>
      <c r="BN13" s="161"/>
      <c r="BO13" s="161"/>
      <c r="BP13" s="161"/>
      <c r="BQ13" s="161" t="e">
        <v>#DIV/0!</v>
      </c>
      <c r="BR13" s="151"/>
      <c r="BS13" s="144"/>
      <c r="BT13" s="144"/>
      <c r="BU13" s="151"/>
      <c r="BV13" s="151"/>
      <c r="BW13" s="151"/>
      <c r="BX13" s="175"/>
    </row>
    <row r="14" spans="1:76">
      <c r="A14" s="162">
        <v>1614</v>
      </c>
      <c r="B14" s="163"/>
      <c r="C14" s="163" t="s">
        <v>54</v>
      </c>
      <c r="D14" s="164" t="s">
        <v>1</v>
      </c>
      <c r="E14" s="163" t="s">
        <v>115</v>
      </c>
      <c r="F14" s="165" t="s">
        <v>99</v>
      </c>
      <c r="G14" s="163" t="s">
        <v>100</v>
      </c>
      <c r="H14" s="166" t="s">
        <v>128</v>
      </c>
      <c r="I14" s="163" t="s">
        <v>100</v>
      </c>
      <c r="J14" s="165" t="s">
        <v>101</v>
      </c>
      <c r="K14" s="164" t="s">
        <v>559</v>
      </c>
      <c r="L14" s="164" t="s">
        <v>559</v>
      </c>
      <c r="M14" s="163" t="s">
        <v>100</v>
      </c>
      <c r="N14" s="164" t="s">
        <v>553</v>
      </c>
      <c r="O14" s="163" t="s">
        <v>100</v>
      </c>
      <c r="P14" s="164"/>
      <c r="Q14" s="164" t="s">
        <v>553</v>
      </c>
      <c r="R14" s="164" t="s">
        <v>119</v>
      </c>
      <c r="S14" s="164" t="s">
        <v>130</v>
      </c>
      <c r="T14" s="164" t="s">
        <v>120</v>
      </c>
      <c r="U14" s="164" t="s">
        <v>101</v>
      </c>
      <c r="V14" s="164" t="s">
        <v>121</v>
      </c>
      <c r="W14" s="164" t="s">
        <v>122</v>
      </c>
      <c r="X14" s="164" t="s">
        <v>123</v>
      </c>
      <c r="Y14" s="167">
        <v>1</v>
      </c>
      <c r="Z14" s="168" t="s">
        <v>598</v>
      </c>
      <c r="AA14" s="168" t="s">
        <v>598</v>
      </c>
      <c r="AB14" s="163" t="s">
        <v>114</v>
      </c>
      <c r="AC14" s="163" t="s">
        <v>124</v>
      </c>
      <c r="AD14" s="169">
        <v>45107</v>
      </c>
      <c r="AE14" s="170" t="s">
        <v>125</v>
      </c>
      <c r="AF14" s="163"/>
      <c r="AG14" s="171">
        <v>0</v>
      </c>
      <c r="AH14" s="163">
        <v>0</v>
      </c>
      <c r="AI14" s="164" t="s">
        <v>126</v>
      </c>
      <c r="AJ14" s="164"/>
      <c r="AK14" s="167">
        <v>0</v>
      </c>
      <c r="AL14" s="167"/>
      <c r="AM14" s="164"/>
      <c r="AN14" s="172">
        <v>0</v>
      </c>
      <c r="AO14" s="172">
        <v>-1</v>
      </c>
      <c r="AP14" s="172"/>
      <c r="AQ14" s="173"/>
      <c r="AR14" s="164" t="s">
        <v>127</v>
      </c>
      <c r="AS14" s="167"/>
      <c r="AT14" s="174"/>
      <c r="AU14" s="174">
        <v>0</v>
      </c>
      <c r="AV14" s="174">
        <v>0</v>
      </c>
      <c r="AW14" s="174"/>
      <c r="AX14" s="174">
        <v>0</v>
      </c>
      <c r="AY14" s="174"/>
      <c r="AZ14" s="174"/>
      <c r="BA14" s="174"/>
      <c r="BB14" s="174">
        <v>0</v>
      </c>
      <c r="BC14" s="174"/>
      <c r="BD14" s="174" t="s">
        <v>114</v>
      </c>
      <c r="BE14" s="167"/>
      <c r="BF14" s="174"/>
      <c r="BG14" s="174" t="e">
        <v>#DIV/0!</v>
      </c>
      <c r="BH14" s="174"/>
      <c r="BI14" s="174" t="s">
        <v>116</v>
      </c>
      <c r="BJ14" s="174"/>
      <c r="BK14" s="174" t="e">
        <v>#DIV/0!</v>
      </c>
      <c r="BL14" s="174"/>
      <c r="BM14" s="174"/>
      <c r="BN14" s="174"/>
      <c r="BO14" s="174"/>
      <c r="BP14" s="174"/>
      <c r="BQ14" s="174" t="e">
        <v>#DIV/0!</v>
      </c>
      <c r="BR14" s="164"/>
      <c r="BS14" s="145"/>
      <c r="BT14" s="145"/>
      <c r="BU14" s="164"/>
      <c r="BV14" s="164"/>
      <c r="BW14" s="164"/>
      <c r="BX14" s="176"/>
    </row>
    <row r="15" spans="1:76">
      <c r="A15" s="149">
        <v>1615</v>
      </c>
      <c r="B15" s="150"/>
      <c r="C15" s="150" t="s">
        <v>54</v>
      </c>
      <c r="D15" s="151" t="s">
        <v>1</v>
      </c>
      <c r="E15" s="150" t="s">
        <v>115</v>
      </c>
      <c r="F15" s="152" t="s">
        <v>99</v>
      </c>
      <c r="G15" s="150" t="s">
        <v>100</v>
      </c>
      <c r="H15" s="153" t="s">
        <v>128</v>
      </c>
      <c r="I15" s="150" t="s">
        <v>100</v>
      </c>
      <c r="J15" s="152" t="s">
        <v>101</v>
      </c>
      <c r="K15" s="151" t="s">
        <v>559</v>
      </c>
      <c r="L15" s="151" t="s">
        <v>559</v>
      </c>
      <c r="M15" s="150" t="s">
        <v>100</v>
      </c>
      <c r="N15" s="151" t="s">
        <v>553</v>
      </c>
      <c r="O15" s="150" t="s">
        <v>100</v>
      </c>
      <c r="P15" s="151"/>
      <c r="Q15" s="151" t="s">
        <v>553</v>
      </c>
      <c r="R15" s="151" t="s">
        <v>119</v>
      </c>
      <c r="S15" s="151" t="s">
        <v>130</v>
      </c>
      <c r="T15" s="151" t="s">
        <v>120</v>
      </c>
      <c r="U15" s="151" t="s">
        <v>101</v>
      </c>
      <c r="V15" s="151" t="s">
        <v>121</v>
      </c>
      <c r="W15" s="151" t="s">
        <v>122</v>
      </c>
      <c r="X15" s="151" t="s">
        <v>123</v>
      </c>
      <c r="Y15" s="154">
        <v>1</v>
      </c>
      <c r="Z15" s="155" t="s">
        <v>598</v>
      </c>
      <c r="AA15" s="155" t="s">
        <v>598</v>
      </c>
      <c r="AB15" s="150" t="s">
        <v>114</v>
      </c>
      <c r="AC15" s="150" t="s">
        <v>124</v>
      </c>
      <c r="AD15" s="156">
        <v>45107</v>
      </c>
      <c r="AE15" s="157" t="s">
        <v>125</v>
      </c>
      <c r="AF15" s="150"/>
      <c r="AG15" s="158">
        <v>0</v>
      </c>
      <c r="AH15" s="150">
        <v>0</v>
      </c>
      <c r="AI15" s="151" t="s">
        <v>126</v>
      </c>
      <c r="AJ15" s="151"/>
      <c r="AK15" s="154">
        <v>0</v>
      </c>
      <c r="AL15" s="154"/>
      <c r="AM15" s="151"/>
      <c r="AN15" s="159">
        <v>0</v>
      </c>
      <c r="AO15" s="159">
        <v>-1</v>
      </c>
      <c r="AP15" s="159"/>
      <c r="AQ15" s="160"/>
      <c r="AR15" s="151" t="s">
        <v>127</v>
      </c>
      <c r="AS15" s="154"/>
      <c r="AT15" s="161"/>
      <c r="AU15" s="161">
        <v>0</v>
      </c>
      <c r="AV15" s="161">
        <v>0</v>
      </c>
      <c r="AW15" s="161"/>
      <c r="AX15" s="161">
        <v>0</v>
      </c>
      <c r="AY15" s="161"/>
      <c r="AZ15" s="161"/>
      <c r="BA15" s="161"/>
      <c r="BB15" s="161">
        <v>0</v>
      </c>
      <c r="BC15" s="161"/>
      <c r="BD15" s="161" t="s">
        <v>114</v>
      </c>
      <c r="BE15" s="154"/>
      <c r="BF15" s="161"/>
      <c r="BG15" s="161" t="e">
        <v>#DIV/0!</v>
      </c>
      <c r="BH15" s="161"/>
      <c r="BI15" s="161" t="s">
        <v>116</v>
      </c>
      <c r="BJ15" s="161"/>
      <c r="BK15" s="161" t="e">
        <v>#DIV/0!</v>
      </c>
      <c r="BL15" s="161"/>
      <c r="BM15" s="161"/>
      <c r="BN15" s="161"/>
      <c r="BO15" s="161"/>
      <c r="BP15" s="161"/>
      <c r="BQ15" s="161" t="e">
        <v>#DIV/0!</v>
      </c>
      <c r="BR15" s="151"/>
      <c r="BS15" s="144"/>
      <c r="BT15" s="144"/>
      <c r="BU15" s="151"/>
      <c r="BV15" s="151"/>
      <c r="BW15" s="151"/>
      <c r="BX15" s="175"/>
    </row>
    <row r="16" spans="1:76">
      <c r="A16" s="162">
        <v>1616</v>
      </c>
      <c r="B16" s="163"/>
      <c r="C16" s="163" t="s">
        <v>54</v>
      </c>
      <c r="D16" s="164" t="s">
        <v>1</v>
      </c>
      <c r="E16" s="163" t="s">
        <v>115</v>
      </c>
      <c r="F16" s="165" t="s">
        <v>99</v>
      </c>
      <c r="G16" s="163" t="s">
        <v>100</v>
      </c>
      <c r="H16" s="166" t="s">
        <v>128</v>
      </c>
      <c r="I16" s="163" t="s">
        <v>100</v>
      </c>
      <c r="J16" s="165" t="s">
        <v>101</v>
      </c>
      <c r="K16" s="164" t="s">
        <v>559</v>
      </c>
      <c r="L16" s="164" t="s">
        <v>559</v>
      </c>
      <c r="M16" s="163" t="s">
        <v>100</v>
      </c>
      <c r="N16" s="164" t="s">
        <v>553</v>
      </c>
      <c r="O16" s="163" t="s">
        <v>100</v>
      </c>
      <c r="P16" s="164"/>
      <c r="Q16" s="164" t="s">
        <v>553</v>
      </c>
      <c r="R16" s="164" t="s">
        <v>119</v>
      </c>
      <c r="S16" s="164" t="s">
        <v>130</v>
      </c>
      <c r="T16" s="164" t="s">
        <v>120</v>
      </c>
      <c r="U16" s="164" t="s">
        <v>101</v>
      </c>
      <c r="V16" s="164" t="s">
        <v>121</v>
      </c>
      <c r="W16" s="164" t="s">
        <v>122</v>
      </c>
      <c r="X16" s="164" t="s">
        <v>123</v>
      </c>
      <c r="Y16" s="167">
        <v>1</v>
      </c>
      <c r="Z16" s="168" t="s">
        <v>598</v>
      </c>
      <c r="AA16" s="168" t="s">
        <v>598</v>
      </c>
      <c r="AB16" s="163" t="s">
        <v>114</v>
      </c>
      <c r="AC16" s="163" t="s">
        <v>124</v>
      </c>
      <c r="AD16" s="169">
        <v>45107</v>
      </c>
      <c r="AE16" s="170" t="s">
        <v>125</v>
      </c>
      <c r="AF16" s="163"/>
      <c r="AG16" s="171">
        <v>0</v>
      </c>
      <c r="AH16" s="163">
        <v>0</v>
      </c>
      <c r="AI16" s="164" t="s">
        <v>126</v>
      </c>
      <c r="AJ16" s="164"/>
      <c r="AK16" s="167">
        <v>0</v>
      </c>
      <c r="AL16" s="167"/>
      <c r="AM16" s="164"/>
      <c r="AN16" s="172">
        <v>0</v>
      </c>
      <c r="AO16" s="172">
        <v>-1</v>
      </c>
      <c r="AP16" s="172"/>
      <c r="AQ16" s="173"/>
      <c r="AR16" s="164" t="s">
        <v>127</v>
      </c>
      <c r="AS16" s="167"/>
      <c r="AT16" s="174"/>
      <c r="AU16" s="174">
        <v>0</v>
      </c>
      <c r="AV16" s="174">
        <v>0</v>
      </c>
      <c r="AW16" s="174"/>
      <c r="AX16" s="174">
        <v>0</v>
      </c>
      <c r="AY16" s="174"/>
      <c r="AZ16" s="174"/>
      <c r="BA16" s="174"/>
      <c r="BB16" s="174">
        <v>0</v>
      </c>
      <c r="BC16" s="174"/>
      <c r="BD16" s="174" t="s">
        <v>114</v>
      </c>
      <c r="BE16" s="167"/>
      <c r="BF16" s="174"/>
      <c r="BG16" s="174" t="e">
        <v>#DIV/0!</v>
      </c>
      <c r="BH16" s="174"/>
      <c r="BI16" s="174" t="s">
        <v>116</v>
      </c>
      <c r="BJ16" s="174"/>
      <c r="BK16" s="174" t="e">
        <v>#DIV/0!</v>
      </c>
      <c r="BL16" s="174"/>
      <c r="BM16" s="174"/>
      <c r="BN16" s="174"/>
      <c r="BO16" s="174"/>
      <c r="BP16" s="174"/>
      <c r="BQ16" s="174" t="e">
        <v>#DIV/0!</v>
      </c>
      <c r="BR16" s="164"/>
      <c r="BS16" s="145"/>
      <c r="BT16" s="145"/>
      <c r="BU16" s="164"/>
      <c r="BV16" s="164"/>
      <c r="BW16" s="164"/>
      <c r="BX16" s="176"/>
    </row>
    <row r="17" spans="1:76">
      <c r="A17" s="149">
        <v>1617</v>
      </c>
      <c r="B17" s="150"/>
      <c r="C17" s="150" t="s">
        <v>54</v>
      </c>
      <c r="D17" s="151" t="s">
        <v>1</v>
      </c>
      <c r="E17" s="150" t="s">
        <v>115</v>
      </c>
      <c r="F17" s="152" t="s">
        <v>99</v>
      </c>
      <c r="G17" s="150" t="s">
        <v>100</v>
      </c>
      <c r="H17" s="153" t="s">
        <v>128</v>
      </c>
      <c r="I17" s="150" t="s">
        <v>100</v>
      </c>
      <c r="J17" s="152" t="s">
        <v>101</v>
      </c>
      <c r="K17" s="151" t="s">
        <v>559</v>
      </c>
      <c r="L17" s="151" t="s">
        <v>559</v>
      </c>
      <c r="M17" s="150" t="s">
        <v>100</v>
      </c>
      <c r="N17" s="151" t="s">
        <v>553</v>
      </c>
      <c r="O17" s="150" t="s">
        <v>100</v>
      </c>
      <c r="P17" s="151"/>
      <c r="Q17" s="151" t="s">
        <v>553</v>
      </c>
      <c r="R17" s="151" t="s">
        <v>119</v>
      </c>
      <c r="S17" s="151" t="s">
        <v>130</v>
      </c>
      <c r="T17" s="151" t="s">
        <v>120</v>
      </c>
      <c r="U17" s="151" t="s">
        <v>101</v>
      </c>
      <c r="V17" s="151" t="s">
        <v>121</v>
      </c>
      <c r="W17" s="151" t="s">
        <v>122</v>
      </c>
      <c r="X17" s="151" t="s">
        <v>123</v>
      </c>
      <c r="Y17" s="154">
        <v>1</v>
      </c>
      <c r="Z17" s="155" t="s">
        <v>598</v>
      </c>
      <c r="AA17" s="155" t="s">
        <v>598</v>
      </c>
      <c r="AB17" s="150" t="s">
        <v>114</v>
      </c>
      <c r="AC17" s="150" t="s">
        <v>124</v>
      </c>
      <c r="AD17" s="156">
        <v>45107</v>
      </c>
      <c r="AE17" s="157" t="s">
        <v>125</v>
      </c>
      <c r="AF17" s="150"/>
      <c r="AG17" s="158">
        <v>0</v>
      </c>
      <c r="AH17" s="150">
        <v>0</v>
      </c>
      <c r="AI17" s="151" t="s">
        <v>126</v>
      </c>
      <c r="AJ17" s="151"/>
      <c r="AK17" s="154">
        <v>0</v>
      </c>
      <c r="AL17" s="154"/>
      <c r="AM17" s="151"/>
      <c r="AN17" s="159">
        <v>0</v>
      </c>
      <c r="AO17" s="159">
        <v>-1</v>
      </c>
      <c r="AP17" s="159"/>
      <c r="AQ17" s="160"/>
      <c r="AR17" s="151" t="s">
        <v>127</v>
      </c>
      <c r="AS17" s="154"/>
      <c r="AT17" s="161"/>
      <c r="AU17" s="161">
        <v>0</v>
      </c>
      <c r="AV17" s="161">
        <v>0</v>
      </c>
      <c r="AW17" s="161"/>
      <c r="AX17" s="161">
        <v>0</v>
      </c>
      <c r="AY17" s="161"/>
      <c r="AZ17" s="161"/>
      <c r="BA17" s="161"/>
      <c r="BB17" s="161">
        <v>0</v>
      </c>
      <c r="BC17" s="161"/>
      <c r="BD17" s="161" t="s">
        <v>114</v>
      </c>
      <c r="BE17" s="154"/>
      <c r="BF17" s="161"/>
      <c r="BG17" s="161" t="e">
        <v>#DIV/0!</v>
      </c>
      <c r="BH17" s="161"/>
      <c r="BI17" s="161" t="s">
        <v>116</v>
      </c>
      <c r="BJ17" s="161"/>
      <c r="BK17" s="161" t="e">
        <v>#DIV/0!</v>
      </c>
      <c r="BL17" s="161"/>
      <c r="BM17" s="161"/>
      <c r="BN17" s="161"/>
      <c r="BO17" s="161"/>
      <c r="BP17" s="161"/>
      <c r="BQ17" s="161" t="e">
        <v>#DIV/0!</v>
      </c>
      <c r="BR17" s="151"/>
      <c r="BS17" s="144"/>
      <c r="BT17" s="144"/>
      <c r="BU17" s="151"/>
      <c r="BV17" s="151"/>
      <c r="BW17" s="151"/>
      <c r="BX17" s="175"/>
    </row>
    <row r="18" spans="1:76">
      <c r="A18" s="162">
        <v>1634</v>
      </c>
      <c r="B18" s="163"/>
      <c r="C18" s="163" t="s">
        <v>54</v>
      </c>
      <c r="D18" s="164" t="s">
        <v>1</v>
      </c>
      <c r="E18" s="163" t="s">
        <v>115</v>
      </c>
      <c r="F18" s="165" t="s">
        <v>99</v>
      </c>
      <c r="G18" s="163" t="s">
        <v>100</v>
      </c>
      <c r="H18" s="166" t="s">
        <v>128</v>
      </c>
      <c r="I18" s="163" t="s">
        <v>100</v>
      </c>
      <c r="J18" s="165" t="s">
        <v>101</v>
      </c>
      <c r="K18" s="164" t="s">
        <v>559</v>
      </c>
      <c r="L18" s="164" t="s">
        <v>559</v>
      </c>
      <c r="M18" s="163" t="s">
        <v>100</v>
      </c>
      <c r="N18" s="164" t="s">
        <v>553</v>
      </c>
      <c r="O18" s="163" t="s">
        <v>100</v>
      </c>
      <c r="P18" s="164"/>
      <c r="Q18" s="164" t="s">
        <v>553</v>
      </c>
      <c r="R18" s="164" t="s">
        <v>119</v>
      </c>
      <c r="S18" s="164" t="s">
        <v>130</v>
      </c>
      <c r="T18" s="164" t="s">
        <v>120</v>
      </c>
      <c r="U18" s="164" t="s">
        <v>101</v>
      </c>
      <c r="V18" s="164" t="s">
        <v>121</v>
      </c>
      <c r="W18" s="164" t="s">
        <v>122</v>
      </c>
      <c r="X18" s="164" t="s">
        <v>123</v>
      </c>
      <c r="Y18" s="167">
        <v>1</v>
      </c>
      <c r="Z18" s="168" t="s">
        <v>598</v>
      </c>
      <c r="AA18" s="168" t="s">
        <v>598</v>
      </c>
      <c r="AB18" s="163" t="s">
        <v>114</v>
      </c>
      <c r="AC18" s="163" t="s">
        <v>124</v>
      </c>
      <c r="AD18" s="169">
        <v>45107</v>
      </c>
      <c r="AE18" s="170" t="s">
        <v>125</v>
      </c>
      <c r="AF18" s="163"/>
      <c r="AG18" s="171">
        <v>0</v>
      </c>
      <c r="AH18" s="163">
        <v>0</v>
      </c>
      <c r="AI18" s="164" t="s">
        <v>126</v>
      </c>
      <c r="AJ18" s="164"/>
      <c r="AK18" s="167">
        <v>0</v>
      </c>
      <c r="AL18" s="167"/>
      <c r="AM18" s="164"/>
      <c r="AN18" s="172">
        <v>0</v>
      </c>
      <c r="AO18" s="172">
        <v>-1</v>
      </c>
      <c r="AP18" s="172"/>
      <c r="AQ18" s="173"/>
      <c r="AR18" s="164" t="s">
        <v>127</v>
      </c>
      <c r="AS18" s="167"/>
      <c r="AT18" s="174"/>
      <c r="AU18" s="174">
        <v>0</v>
      </c>
      <c r="AV18" s="174">
        <v>0</v>
      </c>
      <c r="AW18" s="174"/>
      <c r="AX18" s="174">
        <v>0</v>
      </c>
      <c r="AY18" s="174"/>
      <c r="AZ18" s="174"/>
      <c r="BA18" s="174"/>
      <c r="BB18" s="174">
        <v>0</v>
      </c>
      <c r="BC18" s="174"/>
      <c r="BD18" s="174" t="s">
        <v>114</v>
      </c>
      <c r="BE18" s="167"/>
      <c r="BF18" s="174"/>
      <c r="BG18" s="174" t="e">
        <v>#DIV/0!</v>
      </c>
      <c r="BH18" s="174"/>
      <c r="BI18" s="174" t="s">
        <v>116</v>
      </c>
      <c r="BJ18" s="174"/>
      <c r="BK18" s="174" t="e">
        <v>#DIV/0!</v>
      </c>
      <c r="BL18" s="174"/>
      <c r="BM18" s="174"/>
      <c r="BN18" s="174"/>
      <c r="BO18" s="174"/>
      <c r="BP18" s="174"/>
      <c r="BQ18" s="174" t="e">
        <v>#DIV/0!</v>
      </c>
      <c r="BR18" s="164"/>
      <c r="BS18" s="145"/>
      <c r="BT18" s="145"/>
      <c r="BU18" s="164"/>
      <c r="BV18" s="164"/>
      <c r="BW18" s="164"/>
      <c r="BX18" s="176"/>
    </row>
    <row r="19" spans="1:76">
      <c r="A19" s="149">
        <v>1618</v>
      </c>
      <c r="B19" s="150"/>
      <c r="C19" s="150" t="s">
        <v>54</v>
      </c>
      <c r="D19" s="151" t="s">
        <v>1</v>
      </c>
      <c r="E19" s="150" t="s">
        <v>115</v>
      </c>
      <c r="F19" s="152" t="s">
        <v>99</v>
      </c>
      <c r="G19" s="150" t="s">
        <v>100</v>
      </c>
      <c r="H19" s="153" t="s">
        <v>128</v>
      </c>
      <c r="I19" s="150" t="s">
        <v>100</v>
      </c>
      <c r="J19" s="152" t="s">
        <v>101</v>
      </c>
      <c r="K19" s="151" t="s">
        <v>559</v>
      </c>
      <c r="L19" s="151" t="s">
        <v>559</v>
      </c>
      <c r="M19" s="150" t="s">
        <v>100</v>
      </c>
      <c r="N19" s="151" t="s">
        <v>554</v>
      </c>
      <c r="O19" s="150" t="s">
        <v>100</v>
      </c>
      <c r="P19" s="151"/>
      <c r="Q19" s="151" t="s">
        <v>554</v>
      </c>
      <c r="R19" s="151" t="s">
        <v>119</v>
      </c>
      <c r="S19" s="151" t="s">
        <v>130</v>
      </c>
      <c r="T19" s="151" t="s">
        <v>120</v>
      </c>
      <c r="U19" s="151" t="s">
        <v>101</v>
      </c>
      <c r="V19" s="151" t="s">
        <v>121</v>
      </c>
      <c r="W19" s="151" t="s">
        <v>122</v>
      </c>
      <c r="X19" s="151" t="s">
        <v>123</v>
      </c>
      <c r="Y19" s="154">
        <v>1</v>
      </c>
      <c r="Z19" s="155" t="s">
        <v>598</v>
      </c>
      <c r="AA19" s="155" t="s">
        <v>598</v>
      </c>
      <c r="AB19" s="150" t="s">
        <v>114</v>
      </c>
      <c r="AC19" s="150" t="s">
        <v>124</v>
      </c>
      <c r="AD19" s="156">
        <v>45107</v>
      </c>
      <c r="AE19" s="157" t="s">
        <v>125</v>
      </c>
      <c r="AF19" s="150"/>
      <c r="AG19" s="158">
        <v>0</v>
      </c>
      <c r="AH19" s="150">
        <v>0</v>
      </c>
      <c r="AI19" s="151" t="s">
        <v>126</v>
      </c>
      <c r="AJ19" s="151"/>
      <c r="AK19" s="154">
        <v>0</v>
      </c>
      <c r="AL19" s="154"/>
      <c r="AM19" s="151"/>
      <c r="AN19" s="159">
        <v>0</v>
      </c>
      <c r="AO19" s="159">
        <v>-1</v>
      </c>
      <c r="AP19" s="159"/>
      <c r="AQ19" s="160"/>
      <c r="AR19" s="151" t="s">
        <v>127</v>
      </c>
      <c r="AS19" s="154"/>
      <c r="AT19" s="161"/>
      <c r="AU19" s="161">
        <v>0</v>
      </c>
      <c r="AV19" s="161">
        <v>0</v>
      </c>
      <c r="AW19" s="161"/>
      <c r="AX19" s="161">
        <v>0</v>
      </c>
      <c r="AY19" s="161"/>
      <c r="AZ19" s="161"/>
      <c r="BA19" s="161"/>
      <c r="BB19" s="161">
        <v>0</v>
      </c>
      <c r="BC19" s="161"/>
      <c r="BD19" s="161" t="s">
        <v>114</v>
      </c>
      <c r="BE19" s="154"/>
      <c r="BF19" s="161"/>
      <c r="BG19" s="161" t="e">
        <v>#DIV/0!</v>
      </c>
      <c r="BH19" s="161"/>
      <c r="BI19" s="161" t="s">
        <v>116</v>
      </c>
      <c r="BJ19" s="161"/>
      <c r="BK19" s="161" t="e">
        <v>#DIV/0!</v>
      </c>
      <c r="BL19" s="161"/>
      <c r="BM19" s="161"/>
      <c r="BN19" s="161"/>
      <c r="BO19" s="161"/>
      <c r="BP19" s="161"/>
      <c r="BQ19" s="161" t="e">
        <v>#DIV/0!</v>
      </c>
      <c r="BR19" s="151"/>
      <c r="BS19" s="144"/>
      <c r="BT19" s="144"/>
      <c r="BU19" s="151"/>
      <c r="BV19" s="151"/>
      <c r="BW19" s="151"/>
      <c r="BX19" s="175"/>
    </row>
    <row r="20" spans="1:76">
      <c r="A20" s="162">
        <v>1619</v>
      </c>
      <c r="B20" s="163"/>
      <c r="C20" s="163" t="s">
        <v>54</v>
      </c>
      <c r="D20" s="164" t="s">
        <v>1</v>
      </c>
      <c r="E20" s="163" t="s">
        <v>115</v>
      </c>
      <c r="F20" s="165" t="s">
        <v>99</v>
      </c>
      <c r="G20" s="163" t="s">
        <v>100</v>
      </c>
      <c r="H20" s="166" t="s">
        <v>128</v>
      </c>
      <c r="I20" s="163" t="s">
        <v>100</v>
      </c>
      <c r="J20" s="165" t="s">
        <v>101</v>
      </c>
      <c r="K20" s="164" t="s">
        <v>559</v>
      </c>
      <c r="L20" s="164" t="s">
        <v>559</v>
      </c>
      <c r="M20" s="163" t="s">
        <v>100</v>
      </c>
      <c r="N20" s="164" t="s">
        <v>554</v>
      </c>
      <c r="O20" s="163" t="s">
        <v>100</v>
      </c>
      <c r="P20" s="164"/>
      <c r="Q20" s="164" t="s">
        <v>554</v>
      </c>
      <c r="R20" s="164" t="s">
        <v>119</v>
      </c>
      <c r="S20" s="164" t="s">
        <v>130</v>
      </c>
      <c r="T20" s="164" t="s">
        <v>120</v>
      </c>
      <c r="U20" s="164" t="s">
        <v>101</v>
      </c>
      <c r="V20" s="164" t="s">
        <v>121</v>
      </c>
      <c r="W20" s="164" t="s">
        <v>122</v>
      </c>
      <c r="X20" s="164" t="s">
        <v>123</v>
      </c>
      <c r="Y20" s="167">
        <v>1</v>
      </c>
      <c r="Z20" s="168" t="s">
        <v>598</v>
      </c>
      <c r="AA20" s="168" t="s">
        <v>598</v>
      </c>
      <c r="AB20" s="163" t="s">
        <v>114</v>
      </c>
      <c r="AC20" s="163" t="s">
        <v>124</v>
      </c>
      <c r="AD20" s="169">
        <v>45107</v>
      </c>
      <c r="AE20" s="170" t="s">
        <v>125</v>
      </c>
      <c r="AF20" s="163"/>
      <c r="AG20" s="171">
        <v>0</v>
      </c>
      <c r="AH20" s="163">
        <v>0</v>
      </c>
      <c r="AI20" s="164" t="s">
        <v>126</v>
      </c>
      <c r="AJ20" s="164"/>
      <c r="AK20" s="167">
        <v>0</v>
      </c>
      <c r="AL20" s="167"/>
      <c r="AM20" s="164"/>
      <c r="AN20" s="172">
        <v>0</v>
      </c>
      <c r="AO20" s="172">
        <v>-1</v>
      </c>
      <c r="AP20" s="172"/>
      <c r="AQ20" s="173"/>
      <c r="AR20" s="164" t="s">
        <v>127</v>
      </c>
      <c r="AS20" s="167"/>
      <c r="AT20" s="174"/>
      <c r="AU20" s="174">
        <v>0</v>
      </c>
      <c r="AV20" s="174">
        <v>0</v>
      </c>
      <c r="AW20" s="174"/>
      <c r="AX20" s="174">
        <v>0</v>
      </c>
      <c r="AY20" s="174"/>
      <c r="AZ20" s="174"/>
      <c r="BA20" s="174"/>
      <c r="BB20" s="174">
        <v>0</v>
      </c>
      <c r="BC20" s="174"/>
      <c r="BD20" s="174" t="s">
        <v>114</v>
      </c>
      <c r="BE20" s="167"/>
      <c r="BF20" s="174"/>
      <c r="BG20" s="174" t="e">
        <v>#DIV/0!</v>
      </c>
      <c r="BH20" s="174"/>
      <c r="BI20" s="174" t="s">
        <v>116</v>
      </c>
      <c r="BJ20" s="174"/>
      <c r="BK20" s="174" t="e">
        <v>#DIV/0!</v>
      </c>
      <c r="BL20" s="174"/>
      <c r="BM20" s="174"/>
      <c r="BN20" s="174"/>
      <c r="BO20" s="174"/>
      <c r="BP20" s="174"/>
      <c r="BQ20" s="174" t="e">
        <v>#DIV/0!</v>
      </c>
      <c r="BR20" s="164"/>
      <c r="BS20" s="145"/>
      <c r="BT20" s="145"/>
      <c r="BU20" s="164"/>
      <c r="BV20" s="164"/>
      <c r="BW20" s="164"/>
      <c r="BX20" s="176"/>
    </row>
    <row r="21" spans="1:76">
      <c r="A21" s="149">
        <v>1620</v>
      </c>
      <c r="B21" s="150"/>
      <c r="C21" s="150" t="s">
        <v>54</v>
      </c>
      <c r="D21" s="151" t="s">
        <v>1</v>
      </c>
      <c r="E21" s="150" t="s">
        <v>115</v>
      </c>
      <c r="F21" s="152" t="s">
        <v>99</v>
      </c>
      <c r="G21" s="150" t="s">
        <v>100</v>
      </c>
      <c r="H21" s="153" t="s">
        <v>128</v>
      </c>
      <c r="I21" s="150" t="s">
        <v>100</v>
      </c>
      <c r="J21" s="152" t="s">
        <v>101</v>
      </c>
      <c r="K21" s="151" t="s">
        <v>559</v>
      </c>
      <c r="L21" s="151" t="s">
        <v>559</v>
      </c>
      <c r="M21" s="150" t="s">
        <v>100</v>
      </c>
      <c r="N21" s="151" t="s">
        <v>554</v>
      </c>
      <c r="O21" s="150" t="s">
        <v>100</v>
      </c>
      <c r="P21" s="151"/>
      <c r="Q21" s="151" t="s">
        <v>554</v>
      </c>
      <c r="R21" s="151" t="s">
        <v>119</v>
      </c>
      <c r="S21" s="151" t="s">
        <v>130</v>
      </c>
      <c r="T21" s="151" t="s">
        <v>120</v>
      </c>
      <c r="U21" s="151" t="s">
        <v>101</v>
      </c>
      <c r="V21" s="151" t="s">
        <v>121</v>
      </c>
      <c r="W21" s="151" t="s">
        <v>122</v>
      </c>
      <c r="X21" s="151" t="s">
        <v>123</v>
      </c>
      <c r="Y21" s="154">
        <v>1</v>
      </c>
      <c r="Z21" s="155" t="s">
        <v>599</v>
      </c>
      <c r="AA21" s="155" t="s">
        <v>599</v>
      </c>
      <c r="AB21" s="150" t="s">
        <v>114</v>
      </c>
      <c r="AC21" s="150" t="s">
        <v>124</v>
      </c>
      <c r="AD21" s="156">
        <v>44742</v>
      </c>
      <c r="AE21" s="157" t="s">
        <v>125</v>
      </c>
      <c r="AF21" s="150"/>
      <c r="AG21" s="158">
        <v>0</v>
      </c>
      <c r="AH21" s="150">
        <v>0</v>
      </c>
      <c r="AI21" s="151" t="s">
        <v>126</v>
      </c>
      <c r="AJ21" s="151"/>
      <c r="AK21" s="154">
        <v>0</v>
      </c>
      <c r="AL21" s="154"/>
      <c r="AM21" s="151"/>
      <c r="AN21" s="159">
        <v>0</v>
      </c>
      <c r="AO21" s="159">
        <v>-1</v>
      </c>
      <c r="AP21" s="159"/>
      <c r="AQ21" s="160"/>
      <c r="AR21" s="151" t="s">
        <v>127</v>
      </c>
      <c r="AS21" s="154"/>
      <c r="AT21" s="161"/>
      <c r="AU21" s="161">
        <v>0</v>
      </c>
      <c r="AV21" s="161">
        <v>0</v>
      </c>
      <c r="AW21" s="161"/>
      <c r="AX21" s="161">
        <v>0</v>
      </c>
      <c r="AY21" s="161"/>
      <c r="AZ21" s="161"/>
      <c r="BA21" s="161"/>
      <c r="BB21" s="161">
        <v>0</v>
      </c>
      <c r="BC21" s="161"/>
      <c r="BD21" s="161" t="s">
        <v>114</v>
      </c>
      <c r="BE21" s="154"/>
      <c r="BF21" s="161"/>
      <c r="BG21" s="161" t="e">
        <v>#DIV/0!</v>
      </c>
      <c r="BH21" s="161"/>
      <c r="BI21" s="161" t="s">
        <v>116</v>
      </c>
      <c r="BJ21" s="161"/>
      <c r="BK21" s="161" t="e">
        <v>#DIV/0!</v>
      </c>
      <c r="BL21" s="161"/>
      <c r="BM21" s="161"/>
      <c r="BN21" s="161"/>
      <c r="BO21" s="161"/>
      <c r="BP21" s="161"/>
      <c r="BQ21" s="161" t="e">
        <v>#DIV/0!</v>
      </c>
      <c r="BR21" s="151"/>
      <c r="BS21" s="144"/>
      <c r="BT21" s="144"/>
      <c r="BU21" s="151"/>
      <c r="BV21" s="151"/>
      <c r="BW21" s="151"/>
      <c r="BX21" s="175"/>
    </row>
    <row r="22" spans="1:76">
      <c r="A22" s="162">
        <v>1621</v>
      </c>
      <c r="B22" s="163"/>
      <c r="C22" s="163" t="s">
        <v>54</v>
      </c>
      <c r="D22" s="164" t="s">
        <v>1</v>
      </c>
      <c r="E22" s="163" t="s">
        <v>115</v>
      </c>
      <c r="F22" s="165" t="s">
        <v>99</v>
      </c>
      <c r="G22" s="163" t="s">
        <v>100</v>
      </c>
      <c r="H22" s="166" t="s">
        <v>128</v>
      </c>
      <c r="I22" s="163" t="s">
        <v>100</v>
      </c>
      <c r="J22" s="165" t="s">
        <v>101</v>
      </c>
      <c r="K22" s="164" t="s">
        <v>559</v>
      </c>
      <c r="L22" s="164" t="s">
        <v>559</v>
      </c>
      <c r="M22" s="163" t="s">
        <v>100</v>
      </c>
      <c r="N22" s="164" t="s">
        <v>554</v>
      </c>
      <c r="O22" s="163" t="s">
        <v>100</v>
      </c>
      <c r="P22" s="164"/>
      <c r="Q22" s="164" t="s">
        <v>554</v>
      </c>
      <c r="R22" s="164" t="s">
        <v>119</v>
      </c>
      <c r="S22" s="164" t="s">
        <v>130</v>
      </c>
      <c r="T22" s="164" t="s">
        <v>120</v>
      </c>
      <c r="U22" s="164" t="s">
        <v>101</v>
      </c>
      <c r="V22" s="164" t="s">
        <v>121</v>
      </c>
      <c r="W22" s="164" t="s">
        <v>122</v>
      </c>
      <c r="X22" s="164" t="s">
        <v>123</v>
      </c>
      <c r="Y22" s="167">
        <v>1</v>
      </c>
      <c r="Z22" s="168" t="s">
        <v>598</v>
      </c>
      <c r="AA22" s="168" t="s">
        <v>598</v>
      </c>
      <c r="AB22" s="163" t="s">
        <v>114</v>
      </c>
      <c r="AC22" s="163" t="s">
        <v>124</v>
      </c>
      <c r="AD22" s="169">
        <v>45107</v>
      </c>
      <c r="AE22" s="170" t="s">
        <v>125</v>
      </c>
      <c r="AF22" s="163"/>
      <c r="AG22" s="171">
        <v>0</v>
      </c>
      <c r="AH22" s="163">
        <v>0</v>
      </c>
      <c r="AI22" s="164" t="s">
        <v>126</v>
      </c>
      <c r="AJ22" s="164"/>
      <c r="AK22" s="167">
        <v>0</v>
      </c>
      <c r="AL22" s="167"/>
      <c r="AM22" s="164"/>
      <c r="AN22" s="172">
        <v>0</v>
      </c>
      <c r="AO22" s="172">
        <v>-1</v>
      </c>
      <c r="AP22" s="172"/>
      <c r="AQ22" s="173"/>
      <c r="AR22" s="164" t="s">
        <v>127</v>
      </c>
      <c r="AS22" s="167"/>
      <c r="AT22" s="174"/>
      <c r="AU22" s="174">
        <v>0</v>
      </c>
      <c r="AV22" s="174">
        <v>0</v>
      </c>
      <c r="AW22" s="174"/>
      <c r="AX22" s="174">
        <v>0</v>
      </c>
      <c r="AY22" s="174"/>
      <c r="AZ22" s="174"/>
      <c r="BA22" s="174"/>
      <c r="BB22" s="174">
        <v>0</v>
      </c>
      <c r="BC22" s="174"/>
      <c r="BD22" s="174" t="s">
        <v>114</v>
      </c>
      <c r="BE22" s="167"/>
      <c r="BF22" s="174"/>
      <c r="BG22" s="174" t="e">
        <v>#DIV/0!</v>
      </c>
      <c r="BH22" s="174"/>
      <c r="BI22" s="174" t="s">
        <v>116</v>
      </c>
      <c r="BJ22" s="174"/>
      <c r="BK22" s="174" t="e">
        <v>#DIV/0!</v>
      </c>
      <c r="BL22" s="174"/>
      <c r="BM22" s="174"/>
      <c r="BN22" s="174"/>
      <c r="BO22" s="174"/>
      <c r="BP22" s="174"/>
      <c r="BQ22" s="174" t="e">
        <v>#DIV/0!</v>
      </c>
      <c r="BR22" s="164"/>
      <c r="BS22" s="145"/>
      <c r="BT22" s="145"/>
      <c r="BU22" s="164"/>
      <c r="BV22" s="164"/>
      <c r="BW22" s="164"/>
      <c r="BX22" s="176"/>
    </row>
    <row r="23" spans="1:76">
      <c r="A23" s="149">
        <v>1622</v>
      </c>
      <c r="B23" s="150"/>
      <c r="C23" s="150" t="s">
        <v>54</v>
      </c>
      <c r="D23" s="151" t="s">
        <v>1</v>
      </c>
      <c r="E23" s="150" t="s">
        <v>115</v>
      </c>
      <c r="F23" s="152" t="s">
        <v>99</v>
      </c>
      <c r="G23" s="150" t="s">
        <v>100</v>
      </c>
      <c r="H23" s="153" t="s">
        <v>128</v>
      </c>
      <c r="I23" s="150" t="s">
        <v>100</v>
      </c>
      <c r="J23" s="152" t="s">
        <v>101</v>
      </c>
      <c r="K23" s="151" t="s">
        <v>559</v>
      </c>
      <c r="L23" s="151" t="s">
        <v>559</v>
      </c>
      <c r="M23" s="150" t="s">
        <v>100</v>
      </c>
      <c r="N23" s="151" t="s">
        <v>554</v>
      </c>
      <c r="O23" s="150" t="s">
        <v>100</v>
      </c>
      <c r="P23" s="151"/>
      <c r="Q23" s="151" t="s">
        <v>554</v>
      </c>
      <c r="R23" s="151" t="s">
        <v>119</v>
      </c>
      <c r="S23" s="151" t="s">
        <v>130</v>
      </c>
      <c r="T23" s="151" t="s">
        <v>120</v>
      </c>
      <c r="U23" s="151" t="s">
        <v>101</v>
      </c>
      <c r="V23" s="151" t="s">
        <v>121</v>
      </c>
      <c r="W23" s="151" t="s">
        <v>122</v>
      </c>
      <c r="X23" s="151" t="s">
        <v>123</v>
      </c>
      <c r="Y23" s="154">
        <v>1</v>
      </c>
      <c r="Z23" s="155" t="s">
        <v>598</v>
      </c>
      <c r="AA23" s="155" t="s">
        <v>598</v>
      </c>
      <c r="AB23" s="150" t="s">
        <v>114</v>
      </c>
      <c r="AC23" s="150" t="s">
        <v>124</v>
      </c>
      <c r="AD23" s="156">
        <v>45107</v>
      </c>
      <c r="AE23" s="157" t="s">
        <v>125</v>
      </c>
      <c r="AF23" s="150"/>
      <c r="AG23" s="158">
        <v>0</v>
      </c>
      <c r="AH23" s="150">
        <v>0</v>
      </c>
      <c r="AI23" s="151" t="s">
        <v>126</v>
      </c>
      <c r="AJ23" s="151"/>
      <c r="AK23" s="154">
        <v>0</v>
      </c>
      <c r="AL23" s="154"/>
      <c r="AM23" s="151"/>
      <c r="AN23" s="159">
        <v>0</v>
      </c>
      <c r="AO23" s="159">
        <v>-1</v>
      </c>
      <c r="AP23" s="159"/>
      <c r="AQ23" s="160"/>
      <c r="AR23" s="151" t="s">
        <v>127</v>
      </c>
      <c r="AS23" s="154"/>
      <c r="AT23" s="161"/>
      <c r="AU23" s="161">
        <v>0</v>
      </c>
      <c r="AV23" s="161">
        <v>0</v>
      </c>
      <c r="AW23" s="161"/>
      <c r="AX23" s="161">
        <v>0</v>
      </c>
      <c r="AY23" s="161"/>
      <c r="AZ23" s="161"/>
      <c r="BA23" s="161"/>
      <c r="BB23" s="161">
        <v>0</v>
      </c>
      <c r="BC23" s="161"/>
      <c r="BD23" s="161" t="s">
        <v>114</v>
      </c>
      <c r="BE23" s="154"/>
      <c r="BF23" s="161"/>
      <c r="BG23" s="161" t="e">
        <v>#DIV/0!</v>
      </c>
      <c r="BH23" s="161"/>
      <c r="BI23" s="161" t="s">
        <v>116</v>
      </c>
      <c r="BJ23" s="161"/>
      <c r="BK23" s="161" t="e">
        <v>#DIV/0!</v>
      </c>
      <c r="BL23" s="161"/>
      <c r="BM23" s="161"/>
      <c r="BN23" s="161"/>
      <c r="BO23" s="161"/>
      <c r="BP23" s="161"/>
      <c r="BQ23" s="161" t="e">
        <v>#DIV/0!</v>
      </c>
      <c r="BR23" s="151"/>
      <c r="BS23" s="144"/>
      <c r="BT23" s="144"/>
      <c r="BU23" s="151"/>
      <c r="BV23" s="151"/>
      <c r="BW23" s="151"/>
      <c r="BX23" s="175"/>
    </row>
    <row r="24" spans="1:76">
      <c r="A24" s="162">
        <v>11623</v>
      </c>
      <c r="B24" s="163"/>
      <c r="C24" s="163" t="s">
        <v>54</v>
      </c>
      <c r="D24" s="164" t="s">
        <v>1</v>
      </c>
      <c r="E24" s="163" t="s">
        <v>115</v>
      </c>
      <c r="F24" s="165" t="s">
        <v>99</v>
      </c>
      <c r="G24" s="163" t="s">
        <v>100</v>
      </c>
      <c r="H24" s="166" t="s">
        <v>128</v>
      </c>
      <c r="I24" s="163" t="s">
        <v>100</v>
      </c>
      <c r="J24" s="165" t="s">
        <v>101</v>
      </c>
      <c r="K24" s="164" t="s">
        <v>559</v>
      </c>
      <c r="L24" s="164" t="s">
        <v>559</v>
      </c>
      <c r="M24" s="163" t="s">
        <v>100</v>
      </c>
      <c r="N24" s="164" t="s">
        <v>554</v>
      </c>
      <c r="O24" s="163" t="s">
        <v>100</v>
      </c>
      <c r="P24" s="164"/>
      <c r="Q24" s="164" t="s">
        <v>554</v>
      </c>
      <c r="R24" s="164" t="s">
        <v>119</v>
      </c>
      <c r="S24" s="164" t="s">
        <v>130</v>
      </c>
      <c r="T24" s="164" t="s">
        <v>120</v>
      </c>
      <c r="U24" s="164" t="s">
        <v>101</v>
      </c>
      <c r="V24" s="164" t="s">
        <v>121</v>
      </c>
      <c r="W24" s="164" t="s">
        <v>122</v>
      </c>
      <c r="X24" s="164" t="s">
        <v>123</v>
      </c>
      <c r="Y24" s="167">
        <v>1</v>
      </c>
      <c r="Z24" s="168" t="s">
        <v>598</v>
      </c>
      <c r="AA24" s="168" t="s">
        <v>598</v>
      </c>
      <c r="AB24" s="163" t="s">
        <v>114</v>
      </c>
      <c r="AC24" s="163" t="s">
        <v>124</v>
      </c>
      <c r="AD24" s="169">
        <v>45107</v>
      </c>
      <c r="AE24" s="170" t="s">
        <v>125</v>
      </c>
      <c r="AF24" s="163"/>
      <c r="AG24" s="171">
        <v>0</v>
      </c>
      <c r="AH24" s="163">
        <v>0</v>
      </c>
      <c r="AI24" s="164" t="s">
        <v>126</v>
      </c>
      <c r="AJ24" s="164"/>
      <c r="AK24" s="167">
        <v>0</v>
      </c>
      <c r="AL24" s="167"/>
      <c r="AM24" s="164"/>
      <c r="AN24" s="172">
        <v>0</v>
      </c>
      <c r="AO24" s="172">
        <v>-1</v>
      </c>
      <c r="AP24" s="172"/>
      <c r="AQ24" s="173"/>
      <c r="AR24" s="164" t="s">
        <v>127</v>
      </c>
      <c r="AS24" s="167"/>
      <c r="AT24" s="174"/>
      <c r="AU24" s="174">
        <v>0</v>
      </c>
      <c r="AV24" s="174">
        <v>0</v>
      </c>
      <c r="AW24" s="174"/>
      <c r="AX24" s="174">
        <v>0</v>
      </c>
      <c r="AY24" s="174"/>
      <c r="AZ24" s="174"/>
      <c r="BA24" s="174"/>
      <c r="BB24" s="174">
        <v>0</v>
      </c>
      <c r="BC24" s="174"/>
      <c r="BD24" s="174" t="s">
        <v>114</v>
      </c>
      <c r="BE24" s="167"/>
      <c r="BF24" s="174"/>
      <c r="BG24" s="174" t="e">
        <v>#DIV/0!</v>
      </c>
      <c r="BH24" s="174"/>
      <c r="BI24" s="174" t="s">
        <v>116</v>
      </c>
      <c r="BJ24" s="174"/>
      <c r="BK24" s="174" t="e">
        <v>#DIV/0!</v>
      </c>
      <c r="BL24" s="174"/>
      <c r="BM24" s="174"/>
      <c r="BN24" s="174"/>
      <c r="BO24" s="174"/>
      <c r="BP24" s="174"/>
      <c r="BQ24" s="174" t="e">
        <v>#DIV/0!</v>
      </c>
      <c r="BR24" s="164"/>
      <c r="BS24" s="145"/>
      <c r="BT24" s="145"/>
      <c r="BU24" s="164"/>
      <c r="BV24" s="164"/>
      <c r="BW24" s="164"/>
      <c r="BX24" s="176"/>
    </row>
    <row r="25" spans="1:76">
      <c r="A25" s="149">
        <v>1623</v>
      </c>
      <c r="B25" s="150"/>
      <c r="C25" s="150" t="s">
        <v>54</v>
      </c>
      <c r="D25" s="151" t="s">
        <v>1</v>
      </c>
      <c r="E25" s="150" t="s">
        <v>115</v>
      </c>
      <c r="F25" s="152" t="s">
        <v>99</v>
      </c>
      <c r="G25" s="150" t="s">
        <v>100</v>
      </c>
      <c r="H25" s="153" t="s">
        <v>128</v>
      </c>
      <c r="I25" s="150" t="s">
        <v>100</v>
      </c>
      <c r="J25" s="152" t="s">
        <v>101</v>
      </c>
      <c r="K25" s="151" t="s">
        <v>559</v>
      </c>
      <c r="L25" s="151" t="s">
        <v>559</v>
      </c>
      <c r="M25" s="150" t="s">
        <v>100</v>
      </c>
      <c r="N25" s="151" t="s">
        <v>554</v>
      </c>
      <c r="O25" s="150" t="s">
        <v>100</v>
      </c>
      <c r="P25" s="151"/>
      <c r="Q25" s="151" t="s">
        <v>554</v>
      </c>
      <c r="R25" s="151" t="s">
        <v>119</v>
      </c>
      <c r="S25" s="151" t="s">
        <v>130</v>
      </c>
      <c r="T25" s="151" t="s">
        <v>120</v>
      </c>
      <c r="U25" s="151" t="s">
        <v>101</v>
      </c>
      <c r="V25" s="151" t="s">
        <v>121</v>
      </c>
      <c r="W25" s="151" t="s">
        <v>122</v>
      </c>
      <c r="X25" s="151" t="s">
        <v>123</v>
      </c>
      <c r="Y25" s="154">
        <v>1</v>
      </c>
      <c r="Z25" s="155" t="s">
        <v>598</v>
      </c>
      <c r="AA25" s="155" t="s">
        <v>598</v>
      </c>
      <c r="AB25" s="150" t="s">
        <v>114</v>
      </c>
      <c r="AC25" s="150" t="s">
        <v>124</v>
      </c>
      <c r="AD25" s="156">
        <v>45107</v>
      </c>
      <c r="AE25" s="157" t="s">
        <v>125</v>
      </c>
      <c r="AF25" s="150"/>
      <c r="AG25" s="158">
        <v>0</v>
      </c>
      <c r="AH25" s="150">
        <v>0</v>
      </c>
      <c r="AI25" s="151" t="s">
        <v>126</v>
      </c>
      <c r="AJ25" s="151"/>
      <c r="AK25" s="154">
        <v>0</v>
      </c>
      <c r="AL25" s="154"/>
      <c r="AM25" s="151"/>
      <c r="AN25" s="159">
        <v>0</v>
      </c>
      <c r="AO25" s="159">
        <v>-1</v>
      </c>
      <c r="AP25" s="159"/>
      <c r="AQ25" s="160"/>
      <c r="AR25" s="151" t="s">
        <v>127</v>
      </c>
      <c r="AS25" s="154"/>
      <c r="AT25" s="161"/>
      <c r="AU25" s="161">
        <v>0</v>
      </c>
      <c r="AV25" s="161">
        <v>0</v>
      </c>
      <c r="AW25" s="161"/>
      <c r="AX25" s="161">
        <v>0</v>
      </c>
      <c r="AY25" s="161"/>
      <c r="AZ25" s="161"/>
      <c r="BA25" s="161"/>
      <c r="BB25" s="161">
        <v>0</v>
      </c>
      <c r="BC25" s="161"/>
      <c r="BD25" s="161" t="s">
        <v>114</v>
      </c>
      <c r="BE25" s="154"/>
      <c r="BF25" s="161"/>
      <c r="BG25" s="161" t="e">
        <v>#DIV/0!</v>
      </c>
      <c r="BH25" s="161"/>
      <c r="BI25" s="161" t="s">
        <v>116</v>
      </c>
      <c r="BJ25" s="161"/>
      <c r="BK25" s="161" t="e">
        <v>#DIV/0!</v>
      </c>
      <c r="BL25" s="161"/>
      <c r="BM25" s="161"/>
      <c r="BN25" s="161"/>
      <c r="BO25" s="161"/>
      <c r="BP25" s="161"/>
      <c r="BQ25" s="161" t="e">
        <v>#DIV/0!</v>
      </c>
      <c r="BR25" s="151"/>
      <c r="BS25" s="144"/>
      <c r="BT25" s="144"/>
      <c r="BU25" s="151"/>
      <c r="BV25" s="151"/>
      <c r="BW25" s="151"/>
      <c r="BX25" s="175"/>
    </row>
    <row r="26" spans="1:76">
      <c r="A26" s="162">
        <v>1624</v>
      </c>
      <c r="B26" s="163"/>
      <c r="C26" s="163" t="s">
        <v>54</v>
      </c>
      <c r="D26" s="164" t="s">
        <v>1</v>
      </c>
      <c r="E26" s="163" t="s">
        <v>115</v>
      </c>
      <c r="F26" s="165" t="s">
        <v>99</v>
      </c>
      <c r="G26" s="163" t="s">
        <v>100</v>
      </c>
      <c r="H26" s="166" t="s">
        <v>128</v>
      </c>
      <c r="I26" s="163" t="s">
        <v>100</v>
      </c>
      <c r="J26" s="165" t="s">
        <v>101</v>
      </c>
      <c r="K26" s="164" t="s">
        <v>559</v>
      </c>
      <c r="L26" s="164" t="s">
        <v>559</v>
      </c>
      <c r="M26" s="163" t="s">
        <v>100</v>
      </c>
      <c r="N26" s="164" t="s">
        <v>554</v>
      </c>
      <c r="O26" s="163" t="s">
        <v>100</v>
      </c>
      <c r="P26" s="164"/>
      <c r="Q26" s="164" t="s">
        <v>554</v>
      </c>
      <c r="R26" s="164" t="s">
        <v>119</v>
      </c>
      <c r="S26" s="164" t="s">
        <v>130</v>
      </c>
      <c r="T26" s="164" t="s">
        <v>120</v>
      </c>
      <c r="U26" s="164" t="s">
        <v>101</v>
      </c>
      <c r="V26" s="164" t="s">
        <v>121</v>
      </c>
      <c r="W26" s="164" t="s">
        <v>122</v>
      </c>
      <c r="X26" s="164" t="s">
        <v>123</v>
      </c>
      <c r="Y26" s="167">
        <v>1</v>
      </c>
      <c r="Z26" s="168" t="s">
        <v>598</v>
      </c>
      <c r="AA26" s="168" t="s">
        <v>598</v>
      </c>
      <c r="AB26" s="163" t="s">
        <v>114</v>
      </c>
      <c r="AC26" s="163" t="s">
        <v>124</v>
      </c>
      <c r="AD26" s="169">
        <v>45107</v>
      </c>
      <c r="AE26" s="170" t="s">
        <v>125</v>
      </c>
      <c r="AF26" s="163"/>
      <c r="AG26" s="171">
        <v>0</v>
      </c>
      <c r="AH26" s="163">
        <v>0</v>
      </c>
      <c r="AI26" s="164" t="s">
        <v>126</v>
      </c>
      <c r="AJ26" s="164"/>
      <c r="AK26" s="167">
        <v>0</v>
      </c>
      <c r="AL26" s="167"/>
      <c r="AM26" s="164"/>
      <c r="AN26" s="172">
        <v>0</v>
      </c>
      <c r="AO26" s="172">
        <v>-1</v>
      </c>
      <c r="AP26" s="172"/>
      <c r="AQ26" s="173"/>
      <c r="AR26" s="164" t="s">
        <v>127</v>
      </c>
      <c r="AS26" s="167"/>
      <c r="AT26" s="174"/>
      <c r="AU26" s="174">
        <v>0</v>
      </c>
      <c r="AV26" s="174">
        <v>0</v>
      </c>
      <c r="AW26" s="174"/>
      <c r="AX26" s="174">
        <v>0</v>
      </c>
      <c r="AY26" s="174"/>
      <c r="AZ26" s="174"/>
      <c r="BA26" s="174"/>
      <c r="BB26" s="174">
        <v>0</v>
      </c>
      <c r="BC26" s="174"/>
      <c r="BD26" s="174" t="s">
        <v>114</v>
      </c>
      <c r="BE26" s="167"/>
      <c r="BF26" s="174"/>
      <c r="BG26" s="174" t="e">
        <v>#DIV/0!</v>
      </c>
      <c r="BH26" s="174"/>
      <c r="BI26" s="174" t="s">
        <v>116</v>
      </c>
      <c r="BJ26" s="174"/>
      <c r="BK26" s="174" t="e">
        <v>#DIV/0!</v>
      </c>
      <c r="BL26" s="174"/>
      <c r="BM26" s="174"/>
      <c r="BN26" s="174"/>
      <c r="BO26" s="174"/>
      <c r="BP26" s="174"/>
      <c r="BQ26" s="174" t="e">
        <v>#DIV/0!</v>
      </c>
      <c r="BR26" s="164"/>
      <c r="BS26" s="145"/>
      <c r="BT26" s="145"/>
      <c r="BU26" s="164"/>
      <c r="BV26" s="164"/>
      <c r="BW26" s="164"/>
      <c r="BX26" s="176"/>
    </row>
    <row r="27" spans="1:76">
      <c r="A27" s="149">
        <v>1625</v>
      </c>
      <c r="B27" s="150"/>
      <c r="C27" s="150" t="s">
        <v>54</v>
      </c>
      <c r="D27" s="151" t="s">
        <v>1</v>
      </c>
      <c r="E27" s="150" t="s">
        <v>115</v>
      </c>
      <c r="F27" s="152" t="s">
        <v>99</v>
      </c>
      <c r="G27" s="150" t="s">
        <v>100</v>
      </c>
      <c r="H27" s="153" t="s">
        <v>128</v>
      </c>
      <c r="I27" s="150" t="s">
        <v>100</v>
      </c>
      <c r="J27" s="152" t="s">
        <v>101</v>
      </c>
      <c r="K27" s="151" t="s">
        <v>559</v>
      </c>
      <c r="L27" s="151" t="s">
        <v>559</v>
      </c>
      <c r="M27" s="150" t="s">
        <v>100</v>
      </c>
      <c r="N27" s="151" t="s">
        <v>554</v>
      </c>
      <c r="O27" s="150" t="s">
        <v>100</v>
      </c>
      <c r="P27" s="151"/>
      <c r="Q27" s="151" t="s">
        <v>554</v>
      </c>
      <c r="R27" s="151" t="s">
        <v>119</v>
      </c>
      <c r="S27" s="151" t="s">
        <v>130</v>
      </c>
      <c r="T27" s="151" t="s">
        <v>120</v>
      </c>
      <c r="U27" s="151" t="s">
        <v>101</v>
      </c>
      <c r="V27" s="151" t="s">
        <v>121</v>
      </c>
      <c r="W27" s="151" t="s">
        <v>122</v>
      </c>
      <c r="X27" s="151" t="s">
        <v>123</v>
      </c>
      <c r="Y27" s="154">
        <v>1</v>
      </c>
      <c r="Z27" s="155" t="s">
        <v>598</v>
      </c>
      <c r="AA27" s="155" t="s">
        <v>598</v>
      </c>
      <c r="AB27" s="150" t="s">
        <v>114</v>
      </c>
      <c r="AC27" s="150" t="s">
        <v>124</v>
      </c>
      <c r="AD27" s="156">
        <v>45107</v>
      </c>
      <c r="AE27" s="157" t="s">
        <v>125</v>
      </c>
      <c r="AF27" s="150"/>
      <c r="AG27" s="158">
        <v>0</v>
      </c>
      <c r="AH27" s="150">
        <v>0</v>
      </c>
      <c r="AI27" s="151" t="s">
        <v>126</v>
      </c>
      <c r="AJ27" s="151"/>
      <c r="AK27" s="154">
        <v>0</v>
      </c>
      <c r="AL27" s="154"/>
      <c r="AM27" s="151"/>
      <c r="AN27" s="159">
        <v>0</v>
      </c>
      <c r="AO27" s="159">
        <v>-1</v>
      </c>
      <c r="AP27" s="159"/>
      <c r="AQ27" s="160"/>
      <c r="AR27" s="151" t="s">
        <v>127</v>
      </c>
      <c r="AS27" s="154"/>
      <c r="AT27" s="161"/>
      <c r="AU27" s="161">
        <v>0</v>
      </c>
      <c r="AV27" s="161">
        <v>0</v>
      </c>
      <c r="AW27" s="161"/>
      <c r="AX27" s="161">
        <v>0</v>
      </c>
      <c r="AY27" s="161"/>
      <c r="AZ27" s="161"/>
      <c r="BA27" s="161"/>
      <c r="BB27" s="161">
        <v>0</v>
      </c>
      <c r="BC27" s="161"/>
      <c r="BD27" s="161" t="s">
        <v>114</v>
      </c>
      <c r="BE27" s="154"/>
      <c r="BF27" s="161"/>
      <c r="BG27" s="161" t="e">
        <v>#DIV/0!</v>
      </c>
      <c r="BH27" s="161"/>
      <c r="BI27" s="161" t="s">
        <v>116</v>
      </c>
      <c r="BJ27" s="161"/>
      <c r="BK27" s="161" t="e">
        <v>#DIV/0!</v>
      </c>
      <c r="BL27" s="161"/>
      <c r="BM27" s="161"/>
      <c r="BN27" s="161"/>
      <c r="BO27" s="161"/>
      <c r="BP27" s="161"/>
      <c r="BQ27" s="161" t="e">
        <v>#DIV/0!</v>
      </c>
      <c r="BR27" s="151"/>
      <c r="BS27" s="144"/>
      <c r="BT27" s="144"/>
      <c r="BU27" s="151"/>
      <c r="BV27" s="151"/>
      <c r="BW27" s="151"/>
      <c r="BX27" s="175"/>
    </row>
    <row r="28" spans="1:76">
      <c r="A28" s="162">
        <v>1626</v>
      </c>
      <c r="B28" s="163"/>
      <c r="C28" s="163" t="s">
        <v>54</v>
      </c>
      <c r="D28" s="164" t="s">
        <v>1</v>
      </c>
      <c r="E28" s="163" t="s">
        <v>115</v>
      </c>
      <c r="F28" s="165" t="s">
        <v>99</v>
      </c>
      <c r="G28" s="163" t="s">
        <v>100</v>
      </c>
      <c r="H28" s="166" t="s">
        <v>128</v>
      </c>
      <c r="I28" s="163" t="s">
        <v>100</v>
      </c>
      <c r="J28" s="165" t="s">
        <v>101</v>
      </c>
      <c r="K28" s="164" t="s">
        <v>559</v>
      </c>
      <c r="L28" s="164" t="s">
        <v>559</v>
      </c>
      <c r="M28" s="163" t="s">
        <v>100</v>
      </c>
      <c r="N28" s="164" t="s">
        <v>554</v>
      </c>
      <c r="O28" s="163" t="s">
        <v>100</v>
      </c>
      <c r="P28" s="164"/>
      <c r="Q28" s="164" t="s">
        <v>554</v>
      </c>
      <c r="R28" s="164" t="s">
        <v>119</v>
      </c>
      <c r="S28" s="164" t="s">
        <v>130</v>
      </c>
      <c r="T28" s="164" t="s">
        <v>120</v>
      </c>
      <c r="U28" s="164" t="s">
        <v>101</v>
      </c>
      <c r="V28" s="164" t="s">
        <v>121</v>
      </c>
      <c r="W28" s="164" t="s">
        <v>122</v>
      </c>
      <c r="X28" s="164" t="s">
        <v>123</v>
      </c>
      <c r="Y28" s="167">
        <v>1</v>
      </c>
      <c r="Z28" s="168" t="s">
        <v>598</v>
      </c>
      <c r="AA28" s="168" t="s">
        <v>598</v>
      </c>
      <c r="AB28" s="163" t="s">
        <v>114</v>
      </c>
      <c r="AC28" s="163" t="s">
        <v>124</v>
      </c>
      <c r="AD28" s="169">
        <v>45107</v>
      </c>
      <c r="AE28" s="170" t="s">
        <v>125</v>
      </c>
      <c r="AF28" s="163"/>
      <c r="AG28" s="171">
        <v>0</v>
      </c>
      <c r="AH28" s="163">
        <v>0</v>
      </c>
      <c r="AI28" s="164" t="s">
        <v>126</v>
      </c>
      <c r="AJ28" s="164"/>
      <c r="AK28" s="167">
        <v>0</v>
      </c>
      <c r="AL28" s="167"/>
      <c r="AM28" s="164"/>
      <c r="AN28" s="172">
        <v>0</v>
      </c>
      <c r="AO28" s="172">
        <v>-1</v>
      </c>
      <c r="AP28" s="172"/>
      <c r="AQ28" s="173"/>
      <c r="AR28" s="164" t="s">
        <v>127</v>
      </c>
      <c r="AS28" s="167"/>
      <c r="AT28" s="174"/>
      <c r="AU28" s="174">
        <v>0</v>
      </c>
      <c r="AV28" s="174">
        <v>0</v>
      </c>
      <c r="AW28" s="174"/>
      <c r="AX28" s="174">
        <v>0</v>
      </c>
      <c r="AY28" s="174"/>
      <c r="AZ28" s="174"/>
      <c r="BA28" s="174"/>
      <c r="BB28" s="174">
        <v>0</v>
      </c>
      <c r="BC28" s="174"/>
      <c r="BD28" s="174" t="s">
        <v>114</v>
      </c>
      <c r="BE28" s="167"/>
      <c r="BF28" s="174"/>
      <c r="BG28" s="174" t="e">
        <v>#DIV/0!</v>
      </c>
      <c r="BH28" s="174"/>
      <c r="BI28" s="174" t="s">
        <v>116</v>
      </c>
      <c r="BJ28" s="174"/>
      <c r="BK28" s="174" t="e">
        <v>#DIV/0!</v>
      </c>
      <c r="BL28" s="174"/>
      <c r="BM28" s="174"/>
      <c r="BN28" s="174"/>
      <c r="BO28" s="174"/>
      <c r="BP28" s="174"/>
      <c r="BQ28" s="174" t="e">
        <v>#DIV/0!</v>
      </c>
      <c r="BR28" s="164"/>
      <c r="BS28" s="145"/>
      <c r="BT28" s="145"/>
      <c r="BU28" s="164"/>
      <c r="BV28" s="164"/>
      <c r="BW28" s="164"/>
      <c r="BX28" s="176"/>
    </row>
    <row r="29" spans="1:76">
      <c r="A29" s="149">
        <v>1627</v>
      </c>
      <c r="B29" s="150"/>
      <c r="C29" s="150" t="s">
        <v>54</v>
      </c>
      <c r="D29" s="151" t="s">
        <v>1</v>
      </c>
      <c r="E29" s="150" t="s">
        <v>115</v>
      </c>
      <c r="F29" s="152" t="s">
        <v>99</v>
      </c>
      <c r="G29" s="150" t="s">
        <v>100</v>
      </c>
      <c r="H29" s="153" t="s">
        <v>128</v>
      </c>
      <c r="I29" s="150" t="s">
        <v>100</v>
      </c>
      <c r="J29" s="152" t="s">
        <v>101</v>
      </c>
      <c r="K29" s="151" t="s">
        <v>559</v>
      </c>
      <c r="L29" s="151" t="s">
        <v>559</v>
      </c>
      <c r="M29" s="150" t="s">
        <v>100</v>
      </c>
      <c r="N29" s="151" t="s">
        <v>554</v>
      </c>
      <c r="O29" s="150" t="s">
        <v>100</v>
      </c>
      <c r="P29" s="151"/>
      <c r="Q29" s="151" t="s">
        <v>554</v>
      </c>
      <c r="R29" s="151" t="s">
        <v>119</v>
      </c>
      <c r="S29" s="151" t="s">
        <v>130</v>
      </c>
      <c r="T29" s="151" t="s">
        <v>120</v>
      </c>
      <c r="U29" s="151" t="s">
        <v>101</v>
      </c>
      <c r="V29" s="151" t="s">
        <v>121</v>
      </c>
      <c r="W29" s="151" t="s">
        <v>122</v>
      </c>
      <c r="X29" s="151" t="s">
        <v>123</v>
      </c>
      <c r="Y29" s="154">
        <v>1</v>
      </c>
      <c r="Z29" s="155" t="s">
        <v>598</v>
      </c>
      <c r="AA29" s="155" t="s">
        <v>598</v>
      </c>
      <c r="AB29" s="150" t="s">
        <v>114</v>
      </c>
      <c r="AC29" s="150" t="s">
        <v>124</v>
      </c>
      <c r="AD29" s="156">
        <v>45107</v>
      </c>
      <c r="AE29" s="157" t="s">
        <v>125</v>
      </c>
      <c r="AF29" s="150"/>
      <c r="AG29" s="158">
        <v>0</v>
      </c>
      <c r="AH29" s="150">
        <v>0</v>
      </c>
      <c r="AI29" s="151" t="s">
        <v>126</v>
      </c>
      <c r="AJ29" s="151"/>
      <c r="AK29" s="154">
        <v>0</v>
      </c>
      <c r="AL29" s="154"/>
      <c r="AM29" s="151"/>
      <c r="AN29" s="159">
        <v>0</v>
      </c>
      <c r="AO29" s="159">
        <v>-1</v>
      </c>
      <c r="AP29" s="159"/>
      <c r="AQ29" s="160"/>
      <c r="AR29" s="151" t="s">
        <v>127</v>
      </c>
      <c r="AS29" s="154"/>
      <c r="AT29" s="161"/>
      <c r="AU29" s="161">
        <v>0</v>
      </c>
      <c r="AV29" s="161">
        <v>0</v>
      </c>
      <c r="AW29" s="161"/>
      <c r="AX29" s="161">
        <v>0</v>
      </c>
      <c r="AY29" s="161"/>
      <c r="AZ29" s="161"/>
      <c r="BA29" s="161"/>
      <c r="BB29" s="161">
        <v>0</v>
      </c>
      <c r="BC29" s="161"/>
      <c r="BD29" s="161" t="s">
        <v>114</v>
      </c>
      <c r="BE29" s="154"/>
      <c r="BF29" s="161"/>
      <c r="BG29" s="161" t="e">
        <v>#DIV/0!</v>
      </c>
      <c r="BH29" s="161"/>
      <c r="BI29" s="161" t="s">
        <v>116</v>
      </c>
      <c r="BJ29" s="161"/>
      <c r="BK29" s="161" t="e">
        <v>#DIV/0!</v>
      </c>
      <c r="BL29" s="161"/>
      <c r="BM29" s="161"/>
      <c r="BN29" s="161"/>
      <c r="BO29" s="161"/>
      <c r="BP29" s="161"/>
      <c r="BQ29" s="161" t="e">
        <v>#DIV/0!</v>
      </c>
      <c r="BR29" s="151"/>
      <c r="BS29" s="144"/>
      <c r="BT29" s="144"/>
      <c r="BU29" s="151"/>
      <c r="BV29" s="151"/>
      <c r="BW29" s="151"/>
      <c r="BX29" s="175"/>
    </row>
    <row r="30" spans="1:76">
      <c r="A30" s="162">
        <v>1628</v>
      </c>
      <c r="B30" s="163"/>
      <c r="C30" s="163" t="s">
        <v>54</v>
      </c>
      <c r="D30" s="164" t="s">
        <v>1</v>
      </c>
      <c r="E30" s="163" t="s">
        <v>115</v>
      </c>
      <c r="F30" s="165" t="s">
        <v>99</v>
      </c>
      <c r="G30" s="163" t="s">
        <v>100</v>
      </c>
      <c r="H30" s="166" t="s">
        <v>128</v>
      </c>
      <c r="I30" s="163" t="s">
        <v>100</v>
      </c>
      <c r="J30" s="165" t="s">
        <v>101</v>
      </c>
      <c r="K30" s="164" t="s">
        <v>559</v>
      </c>
      <c r="L30" s="164" t="s">
        <v>559</v>
      </c>
      <c r="M30" s="163" t="s">
        <v>100</v>
      </c>
      <c r="N30" s="164" t="s">
        <v>555</v>
      </c>
      <c r="O30" s="163" t="s">
        <v>100</v>
      </c>
      <c r="P30" s="164"/>
      <c r="Q30" s="164" t="s">
        <v>555</v>
      </c>
      <c r="R30" s="164" t="s">
        <v>119</v>
      </c>
      <c r="S30" s="164" t="s">
        <v>130</v>
      </c>
      <c r="T30" s="164" t="s">
        <v>120</v>
      </c>
      <c r="U30" s="164" t="s">
        <v>101</v>
      </c>
      <c r="V30" s="164" t="s">
        <v>121</v>
      </c>
      <c r="W30" s="164" t="s">
        <v>122</v>
      </c>
      <c r="X30" s="164" t="s">
        <v>123</v>
      </c>
      <c r="Y30" s="167">
        <v>1</v>
      </c>
      <c r="Z30" s="168" t="s">
        <v>598</v>
      </c>
      <c r="AA30" s="168" t="s">
        <v>598</v>
      </c>
      <c r="AB30" s="163" t="s">
        <v>114</v>
      </c>
      <c r="AC30" s="163" t="s">
        <v>124</v>
      </c>
      <c r="AD30" s="169">
        <v>45107</v>
      </c>
      <c r="AE30" s="170" t="s">
        <v>125</v>
      </c>
      <c r="AF30" s="163"/>
      <c r="AG30" s="171">
        <v>0</v>
      </c>
      <c r="AH30" s="163">
        <v>0</v>
      </c>
      <c r="AI30" s="164" t="s">
        <v>126</v>
      </c>
      <c r="AJ30" s="164"/>
      <c r="AK30" s="167">
        <v>0</v>
      </c>
      <c r="AL30" s="167"/>
      <c r="AM30" s="164"/>
      <c r="AN30" s="172">
        <v>0</v>
      </c>
      <c r="AO30" s="172">
        <v>-1</v>
      </c>
      <c r="AP30" s="172"/>
      <c r="AQ30" s="173"/>
      <c r="AR30" s="164" t="s">
        <v>127</v>
      </c>
      <c r="AS30" s="167"/>
      <c r="AT30" s="174"/>
      <c r="AU30" s="174">
        <v>0</v>
      </c>
      <c r="AV30" s="174">
        <v>0</v>
      </c>
      <c r="AW30" s="174"/>
      <c r="AX30" s="174">
        <v>0</v>
      </c>
      <c r="AY30" s="174"/>
      <c r="AZ30" s="174"/>
      <c r="BA30" s="174"/>
      <c r="BB30" s="174">
        <v>0</v>
      </c>
      <c r="BC30" s="174"/>
      <c r="BD30" s="174" t="s">
        <v>114</v>
      </c>
      <c r="BE30" s="167"/>
      <c r="BF30" s="174"/>
      <c r="BG30" s="174" t="e">
        <v>#DIV/0!</v>
      </c>
      <c r="BH30" s="174"/>
      <c r="BI30" s="174" t="s">
        <v>116</v>
      </c>
      <c r="BJ30" s="174"/>
      <c r="BK30" s="174" t="e">
        <v>#DIV/0!</v>
      </c>
      <c r="BL30" s="174"/>
      <c r="BM30" s="174"/>
      <c r="BN30" s="174"/>
      <c r="BO30" s="174"/>
      <c r="BP30" s="174"/>
      <c r="BQ30" s="174" t="e">
        <v>#DIV/0!</v>
      </c>
      <c r="BR30" s="164"/>
      <c r="BS30" s="145"/>
      <c r="BT30" s="145"/>
      <c r="BU30" s="164"/>
      <c r="BV30" s="164"/>
      <c r="BW30" s="164"/>
      <c r="BX30" s="176"/>
    </row>
    <row r="31" spans="1:76">
      <c r="A31" s="149">
        <v>1630</v>
      </c>
      <c r="B31" s="150"/>
      <c r="C31" s="150" t="s">
        <v>54</v>
      </c>
      <c r="D31" s="151" t="s">
        <v>1</v>
      </c>
      <c r="E31" s="150" t="s">
        <v>115</v>
      </c>
      <c r="F31" s="152" t="s">
        <v>99</v>
      </c>
      <c r="G31" s="150" t="s">
        <v>100</v>
      </c>
      <c r="H31" s="153" t="s">
        <v>128</v>
      </c>
      <c r="I31" s="150" t="s">
        <v>100</v>
      </c>
      <c r="J31" s="152" t="s">
        <v>101</v>
      </c>
      <c r="K31" s="151" t="s">
        <v>559</v>
      </c>
      <c r="L31" s="151" t="s">
        <v>559</v>
      </c>
      <c r="M31" s="150" t="s">
        <v>100</v>
      </c>
      <c r="N31" s="151" t="s">
        <v>555</v>
      </c>
      <c r="O31" s="150" t="s">
        <v>100</v>
      </c>
      <c r="P31" s="151"/>
      <c r="Q31" s="151" t="s">
        <v>555</v>
      </c>
      <c r="R31" s="151" t="s">
        <v>119</v>
      </c>
      <c r="S31" s="151" t="s">
        <v>130</v>
      </c>
      <c r="T31" s="151" t="s">
        <v>120</v>
      </c>
      <c r="U31" s="151" t="s">
        <v>101</v>
      </c>
      <c r="V31" s="151" t="s">
        <v>121</v>
      </c>
      <c r="W31" s="151" t="s">
        <v>122</v>
      </c>
      <c r="X31" s="151" t="s">
        <v>123</v>
      </c>
      <c r="Y31" s="154">
        <v>1</v>
      </c>
      <c r="Z31" s="155" t="s">
        <v>598</v>
      </c>
      <c r="AA31" s="155" t="s">
        <v>598</v>
      </c>
      <c r="AB31" s="150" t="s">
        <v>114</v>
      </c>
      <c r="AC31" s="150" t="s">
        <v>124</v>
      </c>
      <c r="AD31" s="156">
        <v>45107</v>
      </c>
      <c r="AE31" s="157" t="s">
        <v>125</v>
      </c>
      <c r="AF31" s="150"/>
      <c r="AG31" s="158">
        <v>0</v>
      </c>
      <c r="AH31" s="150">
        <v>0</v>
      </c>
      <c r="AI31" s="151" t="s">
        <v>126</v>
      </c>
      <c r="AJ31" s="151"/>
      <c r="AK31" s="154">
        <v>0</v>
      </c>
      <c r="AL31" s="154"/>
      <c r="AM31" s="151"/>
      <c r="AN31" s="159">
        <v>0</v>
      </c>
      <c r="AO31" s="159">
        <v>-1</v>
      </c>
      <c r="AP31" s="159"/>
      <c r="AQ31" s="160"/>
      <c r="AR31" s="151" t="s">
        <v>127</v>
      </c>
      <c r="AS31" s="154"/>
      <c r="AT31" s="161"/>
      <c r="AU31" s="161">
        <v>0</v>
      </c>
      <c r="AV31" s="161">
        <v>0</v>
      </c>
      <c r="AW31" s="161"/>
      <c r="AX31" s="161">
        <v>0</v>
      </c>
      <c r="AY31" s="161"/>
      <c r="AZ31" s="161"/>
      <c r="BA31" s="161"/>
      <c r="BB31" s="161">
        <v>0</v>
      </c>
      <c r="BC31" s="161"/>
      <c r="BD31" s="161" t="s">
        <v>114</v>
      </c>
      <c r="BE31" s="154"/>
      <c r="BF31" s="161"/>
      <c r="BG31" s="161" t="e">
        <v>#DIV/0!</v>
      </c>
      <c r="BH31" s="161"/>
      <c r="BI31" s="161" t="s">
        <v>116</v>
      </c>
      <c r="BJ31" s="161"/>
      <c r="BK31" s="161" t="e">
        <v>#DIV/0!</v>
      </c>
      <c r="BL31" s="161"/>
      <c r="BM31" s="161"/>
      <c r="BN31" s="161"/>
      <c r="BO31" s="161"/>
      <c r="BP31" s="161"/>
      <c r="BQ31" s="161" t="e">
        <v>#DIV/0!</v>
      </c>
      <c r="BR31" s="151"/>
      <c r="BS31" s="144"/>
      <c r="BT31" s="144"/>
      <c r="BU31" s="151"/>
      <c r="BV31" s="151"/>
      <c r="BW31" s="151"/>
      <c r="BX31" s="175"/>
    </row>
    <row r="32" spans="1:76">
      <c r="A32" s="162">
        <v>1631</v>
      </c>
      <c r="B32" s="163"/>
      <c r="C32" s="163" t="s">
        <v>54</v>
      </c>
      <c r="D32" s="164" t="s">
        <v>1</v>
      </c>
      <c r="E32" s="163" t="s">
        <v>115</v>
      </c>
      <c r="F32" s="165" t="s">
        <v>99</v>
      </c>
      <c r="G32" s="163" t="s">
        <v>100</v>
      </c>
      <c r="H32" s="166" t="s">
        <v>128</v>
      </c>
      <c r="I32" s="163" t="s">
        <v>100</v>
      </c>
      <c r="J32" s="165" t="s">
        <v>101</v>
      </c>
      <c r="K32" s="164" t="s">
        <v>559</v>
      </c>
      <c r="L32" s="164" t="s">
        <v>559</v>
      </c>
      <c r="M32" s="163" t="s">
        <v>100</v>
      </c>
      <c r="N32" s="164" t="s">
        <v>555</v>
      </c>
      <c r="O32" s="163" t="s">
        <v>100</v>
      </c>
      <c r="P32" s="164"/>
      <c r="Q32" s="164" t="s">
        <v>555</v>
      </c>
      <c r="R32" s="164" t="s">
        <v>119</v>
      </c>
      <c r="S32" s="164" t="s">
        <v>130</v>
      </c>
      <c r="T32" s="164" t="s">
        <v>120</v>
      </c>
      <c r="U32" s="164" t="s">
        <v>101</v>
      </c>
      <c r="V32" s="164" t="s">
        <v>121</v>
      </c>
      <c r="W32" s="164" t="s">
        <v>122</v>
      </c>
      <c r="X32" s="164" t="s">
        <v>123</v>
      </c>
      <c r="Y32" s="167">
        <v>1</v>
      </c>
      <c r="Z32" s="168" t="s">
        <v>598</v>
      </c>
      <c r="AA32" s="168" t="s">
        <v>598</v>
      </c>
      <c r="AB32" s="163" t="s">
        <v>114</v>
      </c>
      <c r="AC32" s="163" t="s">
        <v>124</v>
      </c>
      <c r="AD32" s="169">
        <v>45107</v>
      </c>
      <c r="AE32" s="170" t="s">
        <v>125</v>
      </c>
      <c r="AF32" s="163"/>
      <c r="AG32" s="171">
        <v>0</v>
      </c>
      <c r="AH32" s="163">
        <v>0</v>
      </c>
      <c r="AI32" s="164" t="s">
        <v>126</v>
      </c>
      <c r="AJ32" s="164"/>
      <c r="AK32" s="167">
        <v>0</v>
      </c>
      <c r="AL32" s="167"/>
      <c r="AM32" s="164"/>
      <c r="AN32" s="172">
        <v>0</v>
      </c>
      <c r="AO32" s="172">
        <v>-1</v>
      </c>
      <c r="AP32" s="172"/>
      <c r="AQ32" s="173"/>
      <c r="AR32" s="164" t="s">
        <v>127</v>
      </c>
      <c r="AS32" s="167"/>
      <c r="AT32" s="174"/>
      <c r="AU32" s="174">
        <v>0</v>
      </c>
      <c r="AV32" s="174">
        <v>0</v>
      </c>
      <c r="AW32" s="174"/>
      <c r="AX32" s="174">
        <v>0</v>
      </c>
      <c r="AY32" s="174"/>
      <c r="AZ32" s="174"/>
      <c r="BA32" s="174"/>
      <c r="BB32" s="174">
        <v>0</v>
      </c>
      <c r="BC32" s="174"/>
      <c r="BD32" s="174" t="s">
        <v>114</v>
      </c>
      <c r="BE32" s="167"/>
      <c r="BF32" s="174"/>
      <c r="BG32" s="174" t="e">
        <v>#DIV/0!</v>
      </c>
      <c r="BH32" s="174"/>
      <c r="BI32" s="174" t="s">
        <v>116</v>
      </c>
      <c r="BJ32" s="174"/>
      <c r="BK32" s="174" t="e">
        <v>#DIV/0!</v>
      </c>
      <c r="BL32" s="174"/>
      <c r="BM32" s="174"/>
      <c r="BN32" s="174"/>
      <c r="BO32" s="174"/>
      <c r="BP32" s="174"/>
      <c r="BQ32" s="174" t="e">
        <v>#DIV/0!</v>
      </c>
      <c r="BR32" s="164"/>
      <c r="BS32" s="145"/>
      <c r="BT32" s="145"/>
      <c r="BU32" s="164"/>
      <c r="BV32" s="164"/>
      <c r="BW32" s="164"/>
      <c r="BX32" s="176"/>
    </row>
    <row r="33" spans="1:76">
      <c r="A33" s="149">
        <v>1632</v>
      </c>
      <c r="B33" s="150"/>
      <c r="C33" s="150" t="s">
        <v>54</v>
      </c>
      <c r="D33" s="151" t="s">
        <v>1</v>
      </c>
      <c r="E33" s="150" t="s">
        <v>115</v>
      </c>
      <c r="F33" s="152" t="s">
        <v>99</v>
      </c>
      <c r="G33" s="150" t="s">
        <v>100</v>
      </c>
      <c r="H33" s="153" t="s">
        <v>128</v>
      </c>
      <c r="I33" s="150" t="s">
        <v>100</v>
      </c>
      <c r="J33" s="152" t="s">
        <v>101</v>
      </c>
      <c r="K33" s="151" t="s">
        <v>559</v>
      </c>
      <c r="L33" s="151" t="s">
        <v>559</v>
      </c>
      <c r="M33" s="150" t="s">
        <v>100</v>
      </c>
      <c r="N33" s="151" t="s">
        <v>555</v>
      </c>
      <c r="O33" s="150" t="s">
        <v>100</v>
      </c>
      <c r="P33" s="151"/>
      <c r="Q33" s="151" t="s">
        <v>555</v>
      </c>
      <c r="R33" s="151" t="s">
        <v>119</v>
      </c>
      <c r="S33" s="151" t="s">
        <v>130</v>
      </c>
      <c r="T33" s="151" t="s">
        <v>120</v>
      </c>
      <c r="U33" s="151" t="s">
        <v>101</v>
      </c>
      <c r="V33" s="151" t="s">
        <v>121</v>
      </c>
      <c r="W33" s="151" t="s">
        <v>122</v>
      </c>
      <c r="X33" s="151" t="s">
        <v>123</v>
      </c>
      <c r="Y33" s="154">
        <v>1</v>
      </c>
      <c r="Z33" s="155" t="s">
        <v>598</v>
      </c>
      <c r="AA33" s="155" t="s">
        <v>598</v>
      </c>
      <c r="AB33" s="150" t="s">
        <v>114</v>
      </c>
      <c r="AC33" s="150" t="s">
        <v>124</v>
      </c>
      <c r="AD33" s="156">
        <v>45107</v>
      </c>
      <c r="AE33" s="157" t="s">
        <v>125</v>
      </c>
      <c r="AF33" s="150"/>
      <c r="AG33" s="158">
        <v>0</v>
      </c>
      <c r="AH33" s="150">
        <v>0</v>
      </c>
      <c r="AI33" s="151" t="s">
        <v>126</v>
      </c>
      <c r="AJ33" s="151"/>
      <c r="AK33" s="154">
        <v>0</v>
      </c>
      <c r="AL33" s="154"/>
      <c r="AM33" s="151"/>
      <c r="AN33" s="159">
        <v>0</v>
      </c>
      <c r="AO33" s="159">
        <v>-1</v>
      </c>
      <c r="AP33" s="159"/>
      <c r="AQ33" s="160"/>
      <c r="AR33" s="151" t="s">
        <v>127</v>
      </c>
      <c r="AS33" s="154"/>
      <c r="AT33" s="161"/>
      <c r="AU33" s="161">
        <v>0</v>
      </c>
      <c r="AV33" s="161">
        <v>0</v>
      </c>
      <c r="AW33" s="161"/>
      <c r="AX33" s="161">
        <v>0</v>
      </c>
      <c r="AY33" s="161"/>
      <c r="AZ33" s="161"/>
      <c r="BA33" s="161"/>
      <c r="BB33" s="161">
        <v>0</v>
      </c>
      <c r="BC33" s="161"/>
      <c r="BD33" s="161" t="s">
        <v>114</v>
      </c>
      <c r="BE33" s="154"/>
      <c r="BF33" s="161"/>
      <c r="BG33" s="161" t="e">
        <v>#DIV/0!</v>
      </c>
      <c r="BH33" s="161"/>
      <c r="BI33" s="161" t="s">
        <v>116</v>
      </c>
      <c r="BJ33" s="161"/>
      <c r="BK33" s="161" t="e">
        <v>#DIV/0!</v>
      </c>
      <c r="BL33" s="161"/>
      <c r="BM33" s="161"/>
      <c r="BN33" s="161"/>
      <c r="BO33" s="161"/>
      <c r="BP33" s="161"/>
      <c r="BQ33" s="161" t="e">
        <v>#DIV/0!</v>
      </c>
      <c r="BR33" s="151"/>
      <c r="BS33" s="144"/>
      <c r="BT33" s="144"/>
      <c r="BU33" s="151"/>
      <c r="BV33" s="151"/>
      <c r="BW33" s="151"/>
      <c r="BX33" s="175"/>
    </row>
    <row r="34" spans="1:76">
      <c r="A34" s="162">
        <v>1633</v>
      </c>
      <c r="B34" s="163"/>
      <c r="C34" s="163" t="s">
        <v>54</v>
      </c>
      <c r="D34" s="164" t="s">
        <v>1</v>
      </c>
      <c r="E34" s="163" t="s">
        <v>115</v>
      </c>
      <c r="F34" s="165" t="s">
        <v>99</v>
      </c>
      <c r="G34" s="163" t="s">
        <v>100</v>
      </c>
      <c r="H34" s="166" t="s">
        <v>128</v>
      </c>
      <c r="I34" s="163" t="s">
        <v>100</v>
      </c>
      <c r="J34" s="165" t="s">
        <v>101</v>
      </c>
      <c r="K34" s="164" t="s">
        <v>559</v>
      </c>
      <c r="L34" s="164" t="s">
        <v>559</v>
      </c>
      <c r="M34" s="163" t="s">
        <v>100</v>
      </c>
      <c r="N34" s="164" t="s">
        <v>555</v>
      </c>
      <c r="O34" s="163" t="s">
        <v>100</v>
      </c>
      <c r="P34" s="164"/>
      <c r="Q34" s="164" t="s">
        <v>555</v>
      </c>
      <c r="R34" s="164" t="s">
        <v>119</v>
      </c>
      <c r="S34" s="164" t="s">
        <v>130</v>
      </c>
      <c r="T34" s="164" t="s">
        <v>120</v>
      </c>
      <c r="U34" s="164" t="s">
        <v>101</v>
      </c>
      <c r="V34" s="164" t="s">
        <v>121</v>
      </c>
      <c r="W34" s="164" t="s">
        <v>122</v>
      </c>
      <c r="X34" s="164" t="s">
        <v>123</v>
      </c>
      <c r="Y34" s="167">
        <v>1</v>
      </c>
      <c r="Z34" s="168" t="s">
        <v>598</v>
      </c>
      <c r="AA34" s="168" t="s">
        <v>598</v>
      </c>
      <c r="AB34" s="163" t="s">
        <v>114</v>
      </c>
      <c r="AC34" s="163" t="s">
        <v>124</v>
      </c>
      <c r="AD34" s="169">
        <v>45107</v>
      </c>
      <c r="AE34" s="170" t="s">
        <v>125</v>
      </c>
      <c r="AF34" s="163"/>
      <c r="AG34" s="171">
        <v>0</v>
      </c>
      <c r="AH34" s="163">
        <v>0</v>
      </c>
      <c r="AI34" s="164" t="s">
        <v>126</v>
      </c>
      <c r="AJ34" s="164"/>
      <c r="AK34" s="167">
        <v>0</v>
      </c>
      <c r="AL34" s="167"/>
      <c r="AM34" s="164"/>
      <c r="AN34" s="172">
        <v>0</v>
      </c>
      <c r="AO34" s="172">
        <v>-1</v>
      </c>
      <c r="AP34" s="172"/>
      <c r="AQ34" s="173"/>
      <c r="AR34" s="164" t="s">
        <v>127</v>
      </c>
      <c r="AS34" s="167"/>
      <c r="AT34" s="174"/>
      <c r="AU34" s="174">
        <v>0</v>
      </c>
      <c r="AV34" s="174">
        <v>0</v>
      </c>
      <c r="AW34" s="174"/>
      <c r="AX34" s="174">
        <v>0</v>
      </c>
      <c r="AY34" s="174"/>
      <c r="AZ34" s="174"/>
      <c r="BA34" s="174"/>
      <c r="BB34" s="174">
        <v>0</v>
      </c>
      <c r="BC34" s="174"/>
      <c r="BD34" s="174" t="s">
        <v>114</v>
      </c>
      <c r="BE34" s="167"/>
      <c r="BF34" s="174"/>
      <c r="BG34" s="174" t="e">
        <v>#DIV/0!</v>
      </c>
      <c r="BH34" s="174"/>
      <c r="BI34" s="174" t="s">
        <v>116</v>
      </c>
      <c r="BJ34" s="174"/>
      <c r="BK34" s="174" t="e">
        <v>#DIV/0!</v>
      </c>
      <c r="BL34" s="174"/>
      <c r="BM34" s="174"/>
      <c r="BN34" s="174"/>
      <c r="BO34" s="174"/>
      <c r="BP34" s="174"/>
      <c r="BQ34" s="174" t="e">
        <v>#DIV/0!</v>
      </c>
      <c r="BR34" s="164"/>
      <c r="BS34" s="145"/>
      <c r="BT34" s="145"/>
      <c r="BU34" s="164"/>
      <c r="BV34" s="164"/>
      <c r="BW34" s="164"/>
      <c r="BX34" s="176"/>
    </row>
    <row r="35" spans="1:76">
      <c r="A35" s="149">
        <v>1635</v>
      </c>
      <c r="B35" s="150"/>
      <c r="C35" s="150" t="s">
        <v>54</v>
      </c>
      <c r="D35" s="151" t="s">
        <v>1</v>
      </c>
      <c r="E35" s="150" t="s">
        <v>115</v>
      </c>
      <c r="F35" s="152" t="s">
        <v>99</v>
      </c>
      <c r="G35" s="150" t="s">
        <v>100</v>
      </c>
      <c r="H35" s="153" t="s">
        <v>128</v>
      </c>
      <c r="I35" s="150" t="s">
        <v>100</v>
      </c>
      <c r="J35" s="152" t="s">
        <v>101</v>
      </c>
      <c r="K35" s="151" t="s">
        <v>559</v>
      </c>
      <c r="L35" s="151" t="s">
        <v>559</v>
      </c>
      <c r="M35" s="150" t="s">
        <v>100</v>
      </c>
      <c r="N35" s="151" t="s">
        <v>555</v>
      </c>
      <c r="O35" s="150" t="s">
        <v>100</v>
      </c>
      <c r="P35" s="151"/>
      <c r="Q35" s="151" t="s">
        <v>555</v>
      </c>
      <c r="R35" s="151" t="s">
        <v>119</v>
      </c>
      <c r="S35" s="151" t="s">
        <v>130</v>
      </c>
      <c r="T35" s="151" t="s">
        <v>120</v>
      </c>
      <c r="U35" s="151" t="s">
        <v>101</v>
      </c>
      <c r="V35" s="151" t="s">
        <v>121</v>
      </c>
      <c r="W35" s="151" t="s">
        <v>122</v>
      </c>
      <c r="X35" s="151" t="s">
        <v>123</v>
      </c>
      <c r="Y35" s="154">
        <v>1</v>
      </c>
      <c r="Z35" s="155" t="s">
        <v>598</v>
      </c>
      <c r="AA35" s="155" t="s">
        <v>598</v>
      </c>
      <c r="AB35" s="150" t="s">
        <v>114</v>
      </c>
      <c r="AC35" s="150" t="s">
        <v>124</v>
      </c>
      <c r="AD35" s="156">
        <v>45107</v>
      </c>
      <c r="AE35" s="157" t="s">
        <v>125</v>
      </c>
      <c r="AF35" s="150"/>
      <c r="AG35" s="158">
        <v>0</v>
      </c>
      <c r="AH35" s="150">
        <v>0</v>
      </c>
      <c r="AI35" s="151" t="s">
        <v>126</v>
      </c>
      <c r="AJ35" s="151"/>
      <c r="AK35" s="154">
        <v>0</v>
      </c>
      <c r="AL35" s="154"/>
      <c r="AM35" s="151"/>
      <c r="AN35" s="159">
        <v>0</v>
      </c>
      <c r="AO35" s="159">
        <v>-1</v>
      </c>
      <c r="AP35" s="159"/>
      <c r="AQ35" s="160"/>
      <c r="AR35" s="151" t="s">
        <v>127</v>
      </c>
      <c r="AS35" s="154"/>
      <c r="AT35" s="161"/>
      <c r="AU35" s="161">
        <v>0</v>
      </c>
      <c r="AV35" s="161">
        <v>0</v>
      </c>
      <c r="AW35" s="161"/>
      <c r="AX35" s="161">
        <v>0</v>
      </c>
      <c r="AY35" s="161"/>
      <c r="AZ35" s="161"/>
      <c r="BA35" s="161"/>
      <c r="BB35" s="161">
        <v>0</v>
      </c>
      <c r="BC35" s="161"/>
      <c r="BD35" s="161" t="s">
        <v>114</v>
      </c>
      <c r="BE35" s="154"/>
      <c r="BF35" s="161"/>
      <c r="BG35" s="161" t="e">
        <v>#DIV/0!</v>
      </c>
      <c r="BH35" s="161"/>
      <c r="BI35" s="161" t="s">
        <v>116</v>
      </c>
      <c r="BJ35" s="161"/>
      <c r="BK35" s="161" t="e">
        <v>#DIV/0!</v>
      </c>
      <c r="BL35" s="161"/>
      <c r="BM35" s="161"/>
      <c r="BN35" s="161"/>
      <c r="BO35" s="161"/>
      <c r="BP35" s="161"/>
      <c r="BQ35" s="161" t="e">
        <v>#DIV/0!</v>
      </c>
      <c r="BR35" s="151"/>
      <c r="BS35" s="144"/>
      <c r="BT35" s="144"/>
      <c r="BU35" s="151"/>
      <c r="BV35" s="151"/>
      <c r="BW35" s="151"/>
      <c r="BX35" s="175"/>
    </row>
    <row r="36" spans="1:76">
      <c r="A36" s="162">
        <v>1636</v>
      </c>
      <c r="B36" s="163"/>
      <c r="C36" s="163" t="s">
        <v>54</v>
      </c>
      <c r="D36" s="164" t="s">
        <v>1</v>
      </c>
      <c r="E36" s="163" t="s">
        <v>115</v>
      </c>
      <c r="F36" s="165" t="s">
        <v>99</v>
      </c>
      <c r="G36" s="163" t="s">
        <v>100</v>
      </c>
      <c r="H36" s="166" t="s">
        <v>128</v>
      </c>
      <c r="I36" s="163" t="s">
        <v>100</v>
      </c>
      <c r="J36" s="165" t="s">
        <v>101</v>
      </c>
      <c r="K36" s="164" t="s">
        <v>559</v>
      </c>
      <c r="L36" s="164" t="s">
        <v>559</v>
      </c>
      <c r="M36" s="163" t="s">
        <v>100</v>
      </c>
      <c r="N36" s="164" t="s">
        <v>555</v>
      </c>
      <c r="O36" s="163" t="s">
        <v>100</v>
      </c>
      <c r="P36" s="164"/>
      <c r="Q36" s="164" t="s">
        <v>555</v>
      </c>
      <c r="R36" s="164" t="s">
        <v>119</v>
      </c>
      <c r="S36" s="164" t="s">
        <v>130</v>
      </c>
      <c r="T36" s="164" t="s">
        <v>120</v>
      </c>
      <c r="U36" s="164" t="s">
        <v>101</v>
      </c>
      <c r="V36" s="164" t="s">
        <v>121</v>
      </c>
      <c r="W36" s="164" t="s">
        <v>122</v>
      </c>
      <c r="X36" s="164" t="s">
        <v>123</v>
      </c>
      <c r="Y36" s="167">
        <v>1</v>
      </c>
      <c r="Z36" s="168" t="s">
        <v>598</v>
      </c>
      <c r="AA36" s="168" t="s">
        <v>598</v>
      </c>
      <c r="AB36" s="163" t="s">
        <v>114</v>
      </c>
      <c r="AC36" s="163" t="s">
        <v>124</v>
      </c>
      <c r="AD36" s="169">
        <v>45107</v>
      </c>
      <c r="AE36" s="170" t="s">
        <v>125</v>
      </c>
      <c r="AF36" s="163"/>
      <c r="AG36" s="171">
        <v>0</v>
      </c>
      <c r="AH36" s="163">
        <v>0</v>
      </c>
      <c r="AI36" s="164" t="s">
        <v>126</v>
      </c>
      <c r="AJ36" s="164"/>
      <c r="AK36" s="167">
        <v>0</v>
      </c>
      <c r="AL36" s="167"/>
      <c r="AM36" s="164"/>
      <c r="AN36" s="172">
        <v>0</v>
      </c>
      <c r="AO36" s="172">
        <v>-1</v>
      </c>
      <c r="AP36" s="172"/>
      <c r="AQ36" s="173"/>
      <c r="AR36" s="164" t="s">
        <v>127</v>
      </c>
      <c r="AS36" s="167"/>
      <c r="AT36" s="174"/>
      <c r="AU36" s="174">
        <v>0</v>
      </c>
      <c r="AV36" s="174">
        <v>0</v>
      </c>
      <c r="AW36" s="174"/>
      <c r="AX36" s="174">
        <v>0</v>
      </c>
      <c r="AY36" s="174"/>
      <c r="AZ36" s="174"/>
      <c r="BA36" s="174"/>
      <c r="BB36" s="174">
        <v>0</v>
      </c>
      <c r="BC36" s="174"/>
      <c r="BD36" s="174" t="s">
        <v>114</v>
      </c>
      <c r="BE36" s="167"/>
      <c r="BF36" s="174"/>
      <c r="BG36" s="174" t="e">
        <v>#DIV/0!</v>
      </c>
      <c r="BH36" s="174"/>
      <c r="BI36" s="174" t="s">
        <v>116</v>
      </c>
      <c r="BJ36" s="174"/>
      <c r="BK36" s="174" t="e">
        <v>#DIV/0!</v>
      </c>
      <c r="BL36" s="174"/>
      <c r="BM36" s="174"/>
      <c r="BN36" s="174"/>
      <c r="BO36" s="174"/>
      <c r="BP36" s="174"/>
      <c r="BQ36" s="174" t="e">
        <v>#DIV/0!</v>
      </c>
      <c r="BR36" s="164"/>
      <c r="BS36" s="145"/>
      <c r="BT36" s="145"/>
      <c r="BU36" s="164"/>
      <c r="BV36" s="164"/>
      <c r="BW36" s="164"/>
      <c r="BX36" s="176"/>
    </row>
    <row r="37" spans="1:76">
      <c r="A37" s="149">
        <v>1602</v>
      </c>
      <c r="B37" s="150"/>
      <c r="C37" s="150" t="s">
        <v>54</v>
      </c>
      <c r="D37" s="151" t="s">
        <v>1</v>
      </c>
      <c r="E37" s="150" t="s">
        <v>115</v>
      </c>
      <c r="F37" s="152" t="s">
        <v>99</v>
      </c>
      <c r="G37" s="150" t="s">
        <v>100</v>
      </c>
      <c r="H37" s="153" t="s">
        <v>623</v>
      </c>
      <c r="I37" s="150" t="s">
        <v>100</v>
      </c>
      <c r="J37" s="152" t="s">
        <v>101</v>
      </c>
      <c r="K37" s="151" t="s">
        <v>559</v>
      </c>
      <c r="L37" s="151" t="s">
        <v>559</v>
      </c>
      <c r="M37" s="150" t="s">
        <v>100</v>
      </c>
      <c r="N37" s="151" t="s">
        <v>655</v>
      </c>
      <c r="O37" s="150" t="s">
        <v>100</v>
      </c>
      <c r="P37" s="151"/>
      <c r="Q37" s="151" t="s">
        <v>655</v>
      </c>
      <c r="R37" s="151" t="s">
        <v>119</v>
      </c>
      <c r="S37" s="151" t="s">
        <v>130</v>
      </c>
      <c r="T37" s="151" t="s">
        <v>120</v>
      </c>
      <c r="U37" s="151" t="s">
        <v>101</v>
      </c>
      <c r="V37" s="151" t="s">
        <v>121</v>
      </c>
      <c r="W37" s="151" t="s">
        <v>122</v>
      </c>
      <c r="X37" s="151" t="s">
        <v>123</v>
      </c>
      <c r="Y37" s="154">
        <v>1</v>
      </c>
      <c r="Z37" s="155" t="s">
        <v>682</v>
      </c>
      <c r="AA37" s="155" t="s">
        <v>682</v>
      </c>
      <c r="AB37" s="150" t="s">
        <v>114</v>
      </c>
      <c r="AC37" s="150" t="s">
        <v>124</v>
      </c>
      <c r="AD37" s="156">
        <v>44742</v>
      </c>
      <c r="AE37" s="157" t="s">
        <v>125</v>
      </c>
      <c r="AF37" s="150"/>
      <c r="AG37" s="158">
        <v>0</v>
      </c>
      <c r="AH37" s="150">
        <v>0</v>
      </c>
      <c r="AI37" s="151" t="s">
        <v>126</v>
      </c>
      <c r="AJ37" s="151"/>
      <c r="AK37" s="154">
        <v>0</v>
      </c>
      <c r="AL37" s="154"/>
      <c r="AM37" s="151"/>
      <c r="AN37" s="159">
        <v>0</v>
      </c>
      <c r="AO37" s="159">
        <v>-1</v>
      </c>
      <c r="AP37" s="159"/>
      <c r="AQ37" s="160"/>
      <c r="AR37" s="151" t="s">
        <v>127</v>
      </c>
      <c r="AS37" s="154"/>
      <c r="AT37" s="161"/>
      <c r="AU37" s="161">
        <v>0</v>
      </c>
      <c r="AV37" s="161">
        <v>0</v>
      </c>
      <c r="AW37" s="161"/>
      <c r="AX37" s="161">
        <v>0</v>
      </c>
      <c r="AY37" s="161"/>
      <c r="AZ37" s="161"/>
      <c r="BA37" s="161"/>
      <c r="BB37" s="161">
        <v>0</v>
      </c>
      <c r="BC37" s="161"/>
      <c r="BD37" s="161" t="s">
        <v>114</v>
      </c>
      <c r="BE37" s="154"/>
      <c r="BF37" s="161"/>
      <c r="BG37" s="161" t="e">
        <v>#DIV/0!</v>
      </c>
      <c r="BH37" s="161"/>
      <c r="BI37" s="161" t="s">
        <v>116</v>
      </c>
      <c r="BJ37" s="161"/>
      <c r="BK37" s="161" t="e">
        <v>#DIV/0!</v>
      </c>
      <c r="BL37" s="161"/>
      <c r="BM37" s="161"/>
      <c r="BN37" s="161"/>
      <c r="BO37" s="161"/>
      <c r="BP37" s="161"/>
      <c r="BQ37" s="161" t="e">
        <v>#DIV/0!</v>
      </c>
      <c r="BR37" s="151"/>
      <c r="BS37" s="144"/>
      <c r="BT37" s="144"/>
      <c r="BU37" s="151"/>
      <c r="BV37" s="151"/>
      <c r="BW37" s="151"/>
      <c r="BX37" s="175"/>
    </row>
    <row r="38" spans="1:76">
      <c r="A38" s="162">
        <v>1544</v>
      </c>
      <c r="B38" s="163"/>
      <c r="C38" s="163" t="s">
        <v>54</v>
      </c>
      <c r="D38" s="164" t="s">
        <v>1</v>
      </c>
      <c r="E38" s="163" t="s">
        <v>115</v>
      </c>
      <c r="F38" s="165" t="s">
        <v>99</v>
      </c>
      <c r="G38" s="163" t="s">
        <v>100</v>
      </c>
      <c r="H38" s="166" t="s">
        <v>623</v>
      </c>
      <c r="I38" s="163" t="s">
        <v>100</v>
      </c>
      <c r="J38" s="165" t="s">
        <v>101</v>
      </c>
      <c r="K38" s="164" t="s">
        <v>559</v>
      </c>
      <c r="L38" s="164" t="s">
        <v>559</v>
      </c>
      <c r="M38" s="163" t="s">
        <v>100</v>
      </c>
      <c r="N38" s="164" t="s">
        <v>656</v>
      </c>
      <c r="O38" s="163" t="s">
        <v>100</v>
      </c>
      <c r="P38" s="164"/>
      <c r="Q38" s="164" t="s">
        <v>656</v>
      </c>
      <c r="R38" s="164" t="s">
        <v>119</v>
      </c>
      <c r="S38" s="164" t="s">
        <v>130</v>
      </c>
      <c r="T38" s="164" t="s">
        <v>120</v>
      </c>
      <c r="U38" s="164" t="s">
        <v>101</v>
      </c>
      <c r="V38" s="164" t="s">
        <v>121</v>
      </c>
      <c r="W38" s="164" t="s">
        <v>122</v>
      </c>
      <c r="X38" s="164" t="s">
        <v>123</v>
      </c>
      <c r="Y38" s="167">
        <v>1</v>
      </c>
      <c r="Z38" s="168" t="s">
        <v>683</v>
      </c>
      <c r="AA38" s="168" t="s">
        <v>683</v>
      </c>
      <c r="AB38" s="163" t="s">
        <v>114</v>
      </c>
      <c r="AC38" s="163" t="s">
        <v>124</v>
      </c>
      <c r="AD38" s="169">
        <v>45107</v>
      </c>
      <c r="AE38" s="170" t="s">
        <v>125</v>
      </c>
      <c r="AF38" s="163"/>
      <c r="AG38" s="171">
        <v>0</v>
      </c>
      <c r="AH38" s="163">
        <v>0</v>
      </c>
      <c r="AI38" s="164" t="s">
        <v>126</v>
      </c>
      <c r="AJ38" s="164"/>
      <c r="AK38" s="167">
        <v>0</v>
      </c>
      <c r="AL38" s="167"/>
      <c r="AM38" s="164"/>
      <c r="AN38" s="172">
        <v>0</v>
      </c>
      <c r="AO38" s="172">
        <v>-1</v>
      </c>
      <c r="AP38" s="172"/>
      <c r="AQ38" s="173"/>
      <c r="AR38" s="164" t="s">
        <v>127</v>
      </c>
      <c r="AS38" s="167"/>
      <c r="AT38" s="174"/>
      <c r="AU38" s="174">
        <v>0</v>
      </c>
      <c r="AV38" s="174">
        <v>0</v>
      </c>
      <c r="AW38" s="174"/>
      <c r="AX38" s="174">
        <v>0</v>
      </c>
      <c r="AY38" s="174"/>
      <c r="AZ38" s="174"/>
      <c r="BA38" s="174"/>
      <c r="BB38" s="174">
        <v>0</v>
      </c>
      <c r="BC38" s="174"/>
      <c r="BD38" s="174" t="s">
        <v>114</v>
      </c>
      <c r="BE38" s="167"/>
      <c r="BF38" s="174"/>
      <c r="BG38" s="174" t="e">
        <v>#DIV/0!</v>
      </c>
      <c r="BH38" s="174"/>
      <c r="BI38" s="174" t="s">
        <v>116</v>
      </c>
      <c r="BJ38" s="174"/>
      <c r="BK38" s="174" t="e">
        <v>#DIV/0!</v>
      </c>
      <c r="BL38" s="174"/>
      <c r="BM38" s="174"/>
      <c r="BN38" s="174"/>
      <c r="BO38" s="174"/>
      <c r="BP38" s="174"/>
      <c r="BQ38" s="174" t="e">
        <v>#DIV/0!</v>
      </c>
      <c r="BR38" s="164"/>
      <c r="BS38" s="145"/>
      <c r="BT38" s="145"/>
      <c r="BU38" s="164"/>
      <c r="BV38" s="164"/>
      <c r="BW38" s="164"/>
      <c r="BX38" s="176"/>
    </row>
    <row r="39" spans="1:76">
      <c r="A39" s="149">
        <v>1510</v>
      </c>
      <c r="B39" s="150"/>
      <c r="C39" s="150" t="s">
        <v>54</v>
      </c>
      <c r="D39" s="151" t="s">
        <v>1</v>
      </c>
      <c r="E39" s="150" t="s">
        <v>115</v>
      </c>
      <c r="F39" s="152" t="s">
        <v>99</v>
      </c>
      <c r="G39" s="150" t="s">
        <v>100</v>
      </c>
      <c r="H39" s="153" t="s">
        <v>623</v>
      </c>
      <c r="I39" s="150" t="s">
        <v>100</v>
      </c>
      <c r="J39" s="152" t="s">
        <v>101</v>
      </c>
      <c r="K39" s="151" t="s">
        <v>559</v>
      </c>
      <c r="L39" s="151" t="s">
        <v>559</v>
      </c>
      <c r="M39" s="150" t="s">
        <v>100</v>
      </c>
      <c r="N39" s="151" t="s">
        <v>657</v>
      </c>
      <c r="O39" s="150" t="s">
        <v>100</v>
      </c>
      <c r="P39" s="151"/>
      <c r="Q39" s="151" t="s">
        <v>657</v>
      </c>
      <c r="R39" s="151" t="s">
        <v>119</v>
      </c>
      <c r="S39" s="151" t="s">
        <v>130</v>
      </c>
      <c r="T39" s="151" t="s">
        <v>120</v>
      </c>
      <c r="U39" s="151" t="s">
        <v>101</v>
      </c>
      <c r="V39" s="151" t="s">
        <v>121</v>
      </c>
      <c r="W39" s="151" t="s">
        <v>122</v>
      </c>
      <c r="X39" s="151" t="s">
        <v>123</v>
      </c>
      <c r="Y39" s="154">
        <v>1</v>
      </c>
      <c r="Z39" s="155" t="s">
        <v>683</v>
      </c>
      <c r="AA39" s="155" t="s">
        <v>683</v>
      </c>
      <c r="AB39" s="150" t="s">
        <v>114</v>
      </c>
      <c r="AC39" s="150" t="s">
        <v>124</v>
      </c>
      <c r="AD39" s="156">
        <v>45107</v>
      </c>
      <c r="AE39" s="157" t="s">
        <v>125</v>
      </c>
      <c r="AF39" s="150"/>
      <c r="AG39" s="158">
        <v>0</v>
      </c>
      <c r="AH39" s="150">
        <v>0</v>
      </c>
      <c r="AI39" s="151" t="s">
        <v>126</v>
      </c>
      <c r="AJ39" s="151"/>
      <c r="AK39" s="154">
        <v>0</v>
      </c>
      <c r="AL39" s="154"/>
      <c r="AM39" s="151"/>
      <c r="AN39" s="159">
        <v>0</v>
      </c>
      <c r="AO39" s="159">
        <v>-1</v>
      </c>
      <c r="AP39" s="159"/>
      <c r="AQ39" s="160"/>
      <c r="AR39" s="151" t="s">
        <v>127</v>
      </c>
      <c r="AS39" s="154"/>
      <c r="AT39" s="161"/>
      <c r="AU39" s="161">
        <v>0</v>
      </c>
      <c r="AV39" s="161">
        <v>0</v>
      </c>
      <c r="AW39" s="161"/>
      <c r="AX39" s="161">
        <v>0</v>
      </c>
      <c r="AY39" s="161"/>
      <c r="AZ39" s="161"/>
      <c r="BA39" s="161"/>
      <c r="BB39" s="161">
        <v>0</v>
      </c>
      <c r="BC39" s="161"/>
      <c r="BD39" s="161" t="s">
        <v>114</v>
      </c>
      <c r="BE39" s="154"/>
      <c r="BF39" s="161"/>
      <c r="BG39" s="161" t="e">
        <v>#DIV/0!</v>
      </c>
      <c r="BH39" s="161"/>
      <c r="BI39" s="161" t="s">
        <v>116</v>
      </c>
      <c r="BJ39" s="161"/>
      <c r="BK39" s="161" t="e">
        <v>#DIV/0!</v>
      </c>
      <c r="BL39" s="161"/>
      <c r="BM39" s="161"/>
      <c r="BN39" s="161"/>
      <c r="BO39" s="161"/>
      <c r="BP39" s="161"/>
      <c r="BQ39" s="161" t="e">
        <v>#DIV/0!</v>
      </c>
      <c r="BR39" s="151"/>
      <c r="BS39" s="144"/>
      <c r="BT39" s="144"/>
      <c r="BU39" s="151"/>
      <c r="BV39" s="151"/>
      <c r="BW39" s="151"/>
      <c r="BX39" s="175"/>
    </row>
    <row r="40" spans="1:76">
      <c r="A40" s="162">
        <v>1513</v>
      </c>
      <c r="B40" s="163"/>
      <c r="C40" s="163" t="s">
        <v>54</v>
      </c>
      <c r="D40" s="164" t="s">
        <v>1</v>
      </c>
      <c r="E40" s="163" t="s">
        <v>115</v>
      </c>
      <c r="F40" s="165" t="s">
        <v>99</v>
      </c>
      <c r="G40" s="163" t="s">
        <v>100</v>
      </c>
      <c r="H40" s="166" t="s">
        <v>623</v>
      </c>
      <c r="I40" s="163" t="s">
        <v>100</v>
      </c>
      <c r="J40" s="165" t="s">
        <v>101</v>
      </c>
      <c r="K40" s="164" t="s">
        <v>559</v>
      </c>
      <c r="L40" s="164" t="s">
        <v>559</v>
      </c>
      <c r="M40" s="163" t="s">
        <v>100</v>
      </c>
      <c r="N40" s="164" t="s">
        <v>658</v>
      </c>
      <c r="O40" s="163" t="s">
        <v>100</v>
      </c>
      <c r="P40" s="164"/>
      <c r="Q40" s="164" t="s">
        <v>658</v>
      </c>
      <c r="R40" s="164" t="s">
        <v>119</v>
      </c>
      <c r="S40" s="164" t="s">
        <v>130</v>
      </c>
      <c r="T40" s="164" t="s">
        <v>120</v>
      </c>
      <c r="U40" s="164" t="s">
        <v>101</v>
      </c>
      <c r="V40" s="164" t="s">
        <v>121</v>
      </c>
      <c r="W40" s="164" t="s">
        <v>122</v>
      </c>
      <c r="X40" s="164" t="s">
        <v>123</v>
      </c>
      <c r="Y40" s="167">
        <v>1</v>
      </c>
      <c r="Z40" s="168" t="s">
        <v>683</v>
      </c>
      <c r="AA40" s="168" t="s">
        <v>683</v>
      </c>
      <c r="AB40" s="163" t="s">
        <v>114</v>
      </c>
      <c r="AC40" s="163" t="s">
        <v>124</v>
      </c>
      <c r="AD40" s="169">
        <v>45107</v>
      </c>
      <c r="AE40" s="170" t="s">
        <v>125</v>
      </c>
      <c r="AF40" s="163"/>
      <c r="AG40" s="171">
        <v>0</v>
      </c>
      <c r="AH40" s="163">
        <v>0</v>
      </c>
      <c r="AI40" s="164" t="s">
        <v>126</v>
      </c>
      <c r="AJ40" s="164"/>
      <c r="AK40" s="167">
        <v>0</v>
      </c>
      <c r="AL40" s="167"/>
      <c r="AM40" s="164"/>
      <c r="AN40" s="172">
        <v>0</v>
      </c>
      <c r="AO40" s="172">
        <v>-1</v>
      </c>
      <c r="AP40" s="172"/>
      <c r="AQ40" s="173"/>
      <c r="AR40" s="164" t="s">
        <v>127</v>
      </c>
      <c r="AS40" s="167"/>
      <c r="AT40" s="174"/>
      <c r="AU40" s="174">
        <v>0</v>
      </c>
      <c r="AV40" s="174">
        <v>0</v>
      </c>
      <c r="AW40" s="174"/>
      <c r="AX40" s="174">
        <v>0</v>
      </c>
      <c r="AY40" s="174"/>
      <c r="AZ40" s="174"/>
      <c r="BA40" s="174"/>
      <c r="BB40" s="174">
        <v>0</v>
      </c>
      <c r="BC40" s="174"/>
      <c r="BD40" s="174" t="s">
        <v>114</v>
      </c>
      <c r="BE40" s="167"/>
      <c r="BF40" s="174"/>
      <c r="BG40" s="174" t="e">
        <v>#DIV/0!</v>
      </c>
      <c r="BH40" s="174"/>
      <c r="BI40" s="174" t="s">
        <v>116</v>
      </c>
      <c r="BJ40" s="174"/>
      <c r="BK40" s="174" t="e">
        <v>#DIV/0!</v>
      </c>
      <c r="BL40" s="174"/>
      <c r="BM40" s="174"/>
      <c r="BN40" s="174"/>
      <c r="BO40" s="174"/>
      <c r="BP40" s="174"/>
      <c r="BQ40" s="174" t="e">
        <v>#DIV/0!</v>
      </c>
      <c r="BR40" s="164"/>
      <c r="BS40" s="145"/>
      <c r="BT40" s="145"/>
      <c r="BU40" s="164"/>
      <c r="BV40" s="164"/>
      <c r="BW40" s="164"/>
      <c r="BX40" s="176"/>
    </row>
    <row r="41" spans="1:76">
      <c r="A41" s="149">
        <v>1683</v>
      </c>
      <c r="B41" s="150"/>
      <c r="C41" s="150" t="s">
        <v>54</v>
      </c>
      <c r="D41" s="151" t="s">
        <v>1</v>
      </c>
      <c r="E41" s="150" t="s">
        <v>115</v>
      </c>
      <c r="F41" s="152" t="s">
        <v>99</v>
      </c>
      <c r="G41" s="150" t="s">
        <v>100</v>
      </c>
      <c r="H41" s="153" t="s">
        <v>623</v>
      </c>
      <c r="I41" s="150" t="s">
        <v>100</v>
      </c>
      <c r="J41" s="152" t="s">
        <v>101</v>
      </c>
      <c r="K41" s="151" t="s">
        <v>559</v>
      </c>
      <c r="L41" s="151" t="s">
        <v>559</v>
      </c>
      <c r="M41" s="150" t="s">
        <v>100</v>
      </c>
      <c r="N41" s="151" t="s">
        <v>658</v>
      </c>
      <c r="O41" s="150" t="s">
        <v>100</v>
      </c>
      <c r="P41" s="151"/>
      <c r="Q41" s="151" t="s">
        <v>658</v>
      </c>
      <c r="R41" s="151" t="s">
        <v>119</v>
      </c>
      <c r="S41" s="151" t="s">
        <v>130</v>
      </c>
      <c r="T41" s="151" t="s">
        <v>120</v>
      </c>
      <c r="U41" s="151" t="s">
        <v>101</v>
      </c>
      <c r="V41" s="151" t="s">
        <v>121</v>
      </c>
      <c r="W41" s="151" t="s">
        <v>122</v>
      </c>
      <c r="X41" s="151" t="s">
        <v>123</v>
      </c>
      <c r="Y41" s="154">
        <v>1</v>
      </c>
      <c r="Z41" s="155" t="s">
        <v>683</v>
      </c>
      <c r="AA41" s="155" t="s">
        <v>683</v>
      </c>
      <c r="AB41" s="150" t="s">
        <v>114</v>
      </c>
      <c r="AC41" s="150" t="s">
        <v>124</v>
      </c>
      <c r="AD41" s="156">
        <v>45107</v>
      </c>
      <c r="AE41" s="157" t="s">
        <v>125</v>
      </c>
      <c r="AF41" s="150"/>
      <c r="AG41" s="158">
        <v>0</v>
      </c>
      <c r="AH41" s="150">
        <v>0</v>
      </c>
      <c r="AI41" s="151" t="s">
        <v>126</v>
      </c>
      <c r="AJ41" s="151"/>
      <c r="AK41" s="154">
        <v>0</v>
      </c>
      <c r="AL41" s="154"/>
      <c r="AM41" s="151"/>
      <c r="AN41" s="159">
        <v>0</v>
      </c>
      <c r="AO41" s="159">
        <v>-1</v>
      </c>
      <c r="AP41" s="159"/>
      <c r="AQ41" s="160"/>
      <c r="AR41" s="151" t="s">
        <v>127</v>
      </c>
      <c r="AS41" s="154"/>
      <c r="AT41" s="161"/>
      <c r="AU41" s="161">
        <v>0</v>
      </c>
      <c r="AV41" s="161">
        <v>0</v>
      </c>
      <c r="AW41" s="161"/>
      <c r="AX41" s="161">
        <v>0</v>
      </c>
      <c r="AY41" s="161"/>
      <c r="AZ41" s="161"/>
      <c r="BA41" s="161"/>
      <c r="BB41" s="161">
        <v>0</v>
      </c>
      <c r="BC41" s="161"/>
      <c r="BD41" s="161" t="s">
        <v>114</v>
      </c>
      <c r="BE41" s="154"/>
      <c r="BF41" s="161"/>
      <c r="BG41" s="161" t="e">
        <v>#DIV/0!</v>
      </c>
      <c r="BH41" s="161"/>
      <c r="BI41" s="161" t="s">
        <v>116</v>
      </c>
      <c r="BJ41" s="161"/>
      <c r="BK41" s="161" t="e">
        <v>#DIV/0!</v>
      </c>
      <c r="BL41" s="161"/>
      <c r="BM41" s="161"/>
      <c r="BN41" s="161"/>
      <c r="BO41" s="161"/>
      <c r="BP41" s="161"/>
      <c r="BQ41" s="161" t="e">
        <v>#DIV/0!</v>
      </c>
      <c r="BR41" s="151"/>
      <c r="BS41" s="144"/>
      <c r="BT41" s="144"/>
      <c r="BU41" s="151"/>
      <c r="BV41" s="151"/>
      <c r="BW41" s="151"/>
      <c r="BX41" s="175"/>
    </row>
    <row r="42" spans="1:76">
      <c r="A42" s="162">
        <v>1521</v>
      </c>
      <c r="B42" s="163"/>
      <c r="C42" s="163" t="s">
        <v>54</v>
      </c>
      <c r="D42" s="164" t="s">
        <v>1</v>
      </c>
      <c r="E42" s="163" t="s">
        <v>115</v>
      </c>
      <c r="F42" s="165" t="s">
        <v>99</v>
      </c>
      <c r="G42" s="163" t="s">
        <v>100</v>
      </c>
      <c r="H42" s="166" t="s">
        <v>103</v>
      </c>
      <c r="I42" s="163" t="s">
        <v>100</v>
      </c>
      <c r="J42" s="165" t="s">
        <v>101</v>
      </c>
      <c r="K42" s="164" t="s">
        <v>559</v>
      </c>
      <c r="L42" s="164" t="s">
        <v>559</v>
      </c>
      <c r="M42" s="163" t="s">
        <v>100</v>
      </c>
      <c r="N42" s="164" t="s">
        <v>743</v>
      </c>
      <c r="O42" s="163" t="s">
        <v>100</v>
      </c>
      <c r="P42" s="164"/>
      <c r="Q42" s="164" t="s">
        <v>743</v>
      </c>
      <c r="R42" s="164" t="s">
        <v>119</v>
      </c>
      <c r="S42" s="164" t="s">
        <v>130</v>
      </c>
      <c r="T42" s="164" t="s">
        <v>120</v>
      </c>
      <c r="U42" s="164" t="s">
        <v>101</v>
      </c>
      <c r="V42" s="164" t="s">
        <v>121</v>
      </c>
      <c r="W42" s="164" t="s">
        <v>122</v>
      </c>
      <c r="X42" s="164" t="s">
        <v>123</v>
      </c>
      <c r="Y42" s="167">
        <v>1</v>
      </c>
      <c r="Z42" s="168" t="s">
        <v>679</v>
      </c>
      <c r="AA42" s="168" t="s">
        <v>679</v>
      </c>
      <c r="AB42" s="163" t="s">
        <v>114</v>
      </c>
      <c r="AC42" s="163" t="s">
        <v>124</v>
      </c>
      <c r="AD42" s="169">
        <v>44742</v>
      </c>
      <c r="AE42" s="170" t="s">
        <v>125</v>
      </c>
      <c r="AF42" s="163"/>
      <c r="AG42" s="171">
        <v>0</v>
      </c>
      <c r="AH42" s="163">
        <v>0</v>
      </c>
      <c r="AI42" s="164" t="s">
        <v>126</v>
      </c>
      <c r="AJ42" s="164"/>
      <c r="AK42" s="167">
        <v>0</v>
      </c>
      <c r="AL42" s="167"/>
      <c r="AM42" s="164"/>
      <c r="AN42" s="172"/>
      <c r="AO42" s="172">
        <v>-1</v>
      </c>
      <c r="AP42" s="172"/>
      <c r="AQ42" s="173"/>
      <c r="AR42" s="164" t="s">
        <v>127</v>
      </c>
      <c r="AS42" s="167"/>
      <c r="AT42" s="174"/>
      <c r="AU42" s="174">
        <v>0</v>
      </c>
      <c r="AV42" s="174">
        <v>0</v>
      </c>
      <c r="AW42" s="167"/>
      <c r="AX42" s="174">
        <v>0</v>
      </c>
      <c r="AY42" s="174"/>
      <c r="AZ42" s="174"/>
      <c r="BA42" s="174">
        <v>0</v>
      </c>
      <c r="BB42" s="174">
        <v>0</v>
      </c>
      <c r="BC42" s="174"/>
      <c r="BD42" s="174" t="s">
        <v>114</v>
      </c>
      <c r="BE42" s="167"/>
      <c r="BF42" s="174"/>
      <c r="BG42" s="174" t="e">
        <v>#DIV/0!</v>
      </c>
      <c r="BH42" s="174"/>
      <c r="BI42" s="174" t="s">
        <v>116</v>
      </c>
      <c r="BJ42" s="174"/>
      <c r="BK42" s="174" t="e">
        <v>#DIV/0!</v>
      </c>
      <c r="BL42" s="174"/>
      <c r="BM42" s="174"/>
      <c r="BN42" s="174"/>
      <c r="BO42" s="174"/>
      <c r="BP42" s="174"/>
      <c r="BQ42" s="174" t="e">
        <v>#DIV/0!</v>
      </c>
      <c r="BR42" s="164"/>
      <c r="BS42" s="145"/>
      <c r="BT42" s="145"/>
      <c r="BU42" s="164"/>
      <c r="BV42" s="164"/>
      <c r="BW42" s="164"/>
      <c r="BX42" s="176"/>
    </row>
    <row r="43" spans="1:76">
      <c r="A43" s="149" t="s">
        <v>692</v>
      </c>
      <c r="B43" s="150"/>
      <c r="C43" s="150" t="s">
        <v>54</v>
      </c>
      <c r="D43" s="151" t="s">
        <v>1</v>
      </c>
      <c r="E43" s="150" t="s">
        <v>115</v>
      </c>
      <c r="F43" s="152" t="s">
        <v>99</v>
      </c>
      <c r="G43" s="150" t="s">
        <v>100</v>
      </c>
      <c r="H43" s="153" t="s">
        <v>103</v>
      </c>
      <c r="I43" s="150" t="s">
        <v>100</v>
      </c>
      <c r="J43" s="152" t="s">
        <v>101</v>
      </c>
      <c r="K43" s="151" t="s">
        <v>559</v>
      </c>
      <c r="L43" s="151" t="s">
        <v>559</v>
      </c>
      <c r="M43" s="150" t="s">
        <v>100</v>
      </c>
      <c r="N43" s="151" t="s">
        <v>746</v>
      </c>
      <c r="O43" s="150" t="s">
        <v>100</v>
      </c>
      <c r="P43" s="151"/>
      <c r="Q43" s="151" t="s">
        <v>746</v>
      </c>
      <c r="R43" s="151" t="s">
        <v>119</v>
      </c>
      <c r="S43" s="151" t="s">
        <v>130</v>
      </c>
      <c r="T43" s="151" t="s">
        <v>120</v>
      </c>
      <c r="U43" s="151" t="s">
        <v>101</v>
      </c>
      <c r="V43" s="151" t="s">
        <v>121</v>
      </c>
      <c r="W43" s="151" t="s">
        <v>122</v>
      </c>
      <c r="X43" s="151" t="s">
        <v>123</v>
      </c>
      <c r="Y43" s="154">
        <v>1</v>
      </c>
      <c r="Z43" s="155" t="s">
        <v>764</v>
      </c>
      <c r="AA43" s="155" t="s">
        <v>764</v>
      </c>
      <c r="AB43" s="150" t="s">
        <v>114</v>
      </c>
      <c r="AC43" s="150" t="s">
        <v>124</v>
      </c>
      <c r="AD43" s="156">
        <v>45107</v>
      </c>
      <c r="AE43" s="157" t="s">
        <v>125</v>
      </c>
      <c r="AF43" s="150"/>
      <c r="AG43" s="158">
        <v>0</v>
      </c>
      <c r="AH43" s="150">
        <v>0</v>
      </c>
      <c r="AI43" s="151" t="s">
        <v>126</v>
      </c>
      <c r="AJ43" s="151"/>
      <c r="AK43" s="154">
        <v>0</v>
      </c>
      <c r="AL43" s="154"/>
      <c r="AM43" s="151"/>
      <c r="AN43" s="159"/>
      <c r="AO43" s="159">
        <v>-1</v>
      </c>
      <c r="AP43" s="159"/>
      <c r="AQ43" s="160"/>
      <c r="AR43" s="151" t="s">
        <v>127</v>
      </c>
      <c r="AS43" s="154"/>
      <c r="AT43" s="161"/>
      <c r="AU43" s="161">
        <v>0</v>
      </c>
      <c r="AV43" s="161">
        <v>0</v>
      </c>
      <c r="AW43" s="161"/>
      <c r="AX43" s="161">
        <v>0</v>
      </c>
      <c r="AY43" s="161"/>
      <c r="AZ43" s="161"/>
      <c r="BA43" s="161"/>
      <c r="BB43" s="161">
        <v>0</v>
      </c>
      <c r="BC43" s="161"/>
      <c r="BD43" s="161" t="s">
        <v>114</v>
      </c>
      <c r="BE43" s="154"/>
      <c r="BF43" s="161"/>
      <c r="BG43" s="161" t="e">
        <v>#DIV/0!</v>
      </c>
      <c r="BH43" s="161"/>
      <c r="BI43" s="161" t="s">
        <v>116</v>
      </c>
      <c r="BJ43" s="161"/>
      <c r="BK43" s="161" t="e">
        <v>#DIV/0!</v>
      </c>
      <c r="BL43" s="161"/>
      <c r="BM43" s="161"/>
      <c r="BN43" s="161"/>
      <c r="BO43" s="161"/>
      <c r="BP43" s="161"/>
      <c r="BQ43" s="161" t="e">
        <v>#DIV/0!</v>
      </c>
      <c r="BR43" s="151"/>
      <c r="BS43" s="144"/>
      <c r="BT43" s="144"/>
      <c r="BU43" s="151"/>
      <c r="BV43" s="151"/>
      <c r="BW43" s="151"/>
      <c r="BX43" s="175"/>
    </row>
    <row r="44" spans="1:76">
      <c r="A44" s="162" t="s">
        <v>693</v>
      </c>
      <c r="B44" s="163"/>
      <c r="C44" s="163" t="s">
        <v>54</v>
      </c>
      <c r="D44" s="164" t="s">
        <v>1</v>
      </c>
      <c r="E44" s="163" t="s">
        <v>115</v>
      </c>
      <c r="F44" s="165" t="s">
        <v>99</v>
      </c>
      <c r="G44" s="163" t="s">
        <v>100</v>
      </c>
      <c r="H44" s="166" t="s">
        <v>103</v>
      </c>
      <c r="I44" s="163" t="s">
        <v>100</v>
      </c>
      <c r="J44" s="165" t="s">
        <v>101</v>
      </c>
      <c r="K44" s="164" t="s">
        <v>559</v>
      </c>
      <c r="L44" s="164" t="s">
        <v>559</v>
      </c>
      <c r="M44" s="163" t="s">
        <v>100</v>
      </c>
      <c r="N44" s="164" t="s">
        <v>746</v>
      </c>
      <c r="O44" s="163" t="s">
        <v>100</v>
      </c>
      <c r="P44" s="164"/>
      <c r="Q44" s="164" t="s">
        <v>746</v>
      </c>
      <c r="R44" s="164" t="s">
        <v>119</v>
      </c>
      <c r="S44" s="164" t="s">
        <v>130</v>
      </c>
      <c r="T44" s="164" t="s">
        <v>120</v>
      </c>
      <c r="U44" s="164" t="s">
        <v>101</v>
      </c>
      <c r="V44" s="164" t="s">
        <v>121</v>
      </c>
      <c r="W44" s="164" t="s">
        <v>122</v>
      </c>
      <c r="X44" s="164" t="s">
        <v>123</v>
      </c>
      <c r="Y44" s="167">
        <v>1</v>
      </c>
      <c r="Z44" s="168" t="s">
        <v>764</v>
      </c>
      <c r="AA44" s="168" t="s">
        <v>764</v>
      </c>
      <c r="AB44" s="163" t="s">
        <v>114</v>
      </c>
      <c r="AC44" s="163" t="s">
        <v>124</v>
      </c>
      <c r="AD44" s="169">
        <v>45107</v>
      </c>
      <c r="AE44" s="170" t="s">
        <v>125</v>
      </c>
      <c r="AF44" s="163"/>
      <c r="AG44" s="171">
        <v>0</v>
      </c>
      <c r="AH44" s="163">
        <v>0</v>
      </c>
      <c r="AI44" s="164" t="s">
        <v>126</v>
      </c>
      <c r="AJ44" s="164"/>
      <c r="AK44" s="167">
        <v>0</v>
      </c>
      <c r="AL44" s="167"/>
      <c r="AM44" s="164"/>
      <c r="AN44" s="172"/>
      <c r="AO44" s="172">
        <v>-1</v>
      </c>
      <c r="AP44" s="172"/>
      <c r="AQ44" s="173"/>
      <c r="AR44" s="164" t="s">
        <v>127</v>
      </c>
      <c r="AS44" s="167"/>
      <c r="AT44" s="174"/>
      <c r="AU44" s="174">
        <v>0</v>
      </c>
      <c r="AV44" s="174">
        <v>0</v>
      </c>
      <c r="AW44" s="174"/>
      <c r="AX44" s="174">
        <v>0</v>
      </c>
      <c r="AY44" s="174"/>
      <c r="AZ44" s="174"/>
      <c r="BA44" s="174"/>
      <c r="BB44" s="174">
        <v>0</v>
      </c>
      <c r="BC44" s="174"/>
      <c r="BD44" s="174" t="s">
        <v>114</v>
      </c>
      <c r="BE44" s="167"/>
      <c r="BF44" s="174"/>
      <c r="BG44" s="174" t="e">
        <v>#DIV/0!</v>
      </c>
      <c r="BH44" s="174"/>
      <c r="BI44" s="174" t="s">
        <v>116</v>
      </c>
      <c r="BJ44" s="174"/>
      <c r="BK44" s="174" t="e">
        <v>#DIV/0!</v>
      </c>
      <c r="BL44" s="174"/>
      <c r="BM44" s="174"/>
      <c r="BN44" s="174"/>
      <c r="BO44" s="174"/>
      <c r="BP44" s="174"/>
      <c r="BQ44" s="174" t="e">
        <v>#DIV/0!</v>
      </c>
      <c r="BR44" s="164"/>
      <c r="BS44" s="145"/>
      <c r="BT44" s="145"/>
      <c r="BU44" s="164"/>
      <c r="BV44" s="164"/>
      <c r="BW44" s="164"/>
      <c r="BX44" s="176"/>
    </row>
    <row r="45" spans="1:76">
      <c r="A45" s="149" t="s">
        <v>694</v>
      </c>
      <c r="B45" s="150"/>
      <c r="C45" s="150" t="s">
        <v>54</v>
      </c>
      <c r="D45" s="151" t="s">
        <v>1</v>
      </c>
      <c r="E45" s="150" t="s">
        <v>115</v>
      </c>
      <c r="F45" s="152" t="s">
        <v>99</v>
      </c>
      <c r="G45" s="150" t="s">
        <v>100</v>
      </c>
      <c r="H45" s="153" t="s">
        <v>103</v>
      </c>
      <c r="I45" s="150" t="s">
        <v>100</v>
      </c>
      <c r="J45" s="152" t="s">
        <v>101</v>
      </c>
      <c r="K45" s="151" t="s">
        <v>559</v>
      </c>
      <c r="L45" s="151" t="s">
        <v>559</v>
      </c>
      <c r="M45" s="150" t="s">
        <v>100</v>
      </c>
      <c r="N45" s="151" t="s">
        <v>746</v>
      </c>
      <c r="O45" s="150" t="s">
        <v>100</v>
      </c>
      <c r="P45" s="151"/>
      <c r="Q45" s="151" t="s">
        <v>746</v>
      </c>
      <c r="R45" s="151" t="s">
        <v>119</v>
      </c>
      <c r="S45" s="151" t="s">
        <v>130</v>
      </c>
      <c r="T45" s="151" t="s">
        <v>120</v>
      </c>
      <c r="U45" s="151" t="s">
        <v>101</v>
      </c>
      <c r="V45" s="151" t="s">
        <v>121</v>
      </c>
      <c r="W45" s="151" t="s">
        <v>122</v>
      </c>
      <c r="X45" s="151" t="s">
        <v>123</v>
      </c>
      <c r="Y45" s="154">
        <v>1</v>
      </c>
      <c r="Z45" s="155" t="s">
        <v>764</v>
      </c>
      <c r="AA45" s="155" t="s">
        <v>764</v>
      </c>
      <c r="AB45" s="150" t="s">
        <v>114</v>
      </c>
      <c r="AC45" s="150" t="s">
        <v>124</v>
      </c>
      <c r="AD45" s="156">
        <v>45107</v>
      </c>
      <c r="AE45" s="157" t="s">
        <v>125</v>
      </c>
      <c r="AF45" s="150"/>
      <c r="AG45" s="158">
        <v>0</v>
      </c>
      <c r="AH45" s="150">
        <v>0</v>
      </c>
      <c r="AI45" s="151" t="s">
        <v>126</v>
      </c>
      <c r="AJ45" s="151"/>
      <c r="AK45" s="154">
        <v>0</v>
      </c>
      <c r="AL45" s="154"/>
      <c r="AM45" s="151"/>
      <c r="AN45" s="159"/>
      <c r="AO45" s="159">
        <v>-1</v>
      </c>
      <c r="AP45" s="159"/>
      <c r="AQ45" s="160"/>
      <c r="AR45" s="151" t="s">
        <v>127</v>
      </c>
      <c r="AS45" s="154"/>
      <c r="AT45" s="161"/>
      <c r="AU45" s="161">
        <v>0</v>
      </c>
      <c r="AV45" s="161">
        <v>0</v>
      </c>
      <c r="AW45" s="161"/>
      <c r="AX45" s="161">
        <v>0</v>
      </c>
      <c r="AY45" s="161"/>
      <c r="AZ45" s="161"/>
      <c r="BA45" s="161"/>
      <c r="BB45" s="161">
        <v>0</v>
      </c>
      <c r="BC45" s="161"/>
      <c r="BD45" s="161" t="s">
        <v>114</v>
      </c>
      <c r="BE45" s="154"/>
      <c r="BF45" s="161"/>
      <c r="BG45" s="161" t="e">
        <v>#DIV/0!</v>
      </c>
      <c r="BH45" s="161"/>
      <c r="BI45" s="161" t="s">
        <v>116</v>
      </c>
      <c r="BJ45" s="161"/>
      <c r="BK45" s="161" t="e">
        <v>#DIV/0!</v>
      </c>
      <c r="BL45" s="161"/>
      <c r="BM45" s="161"/>
      <c r="BN45" s="161"/>
      <c r="BO45" s="161"/>
      <c r="BP45" s="161"/>
      <c r="BQ45" s="161" t="e">
        <v>#DIV/0!</v>
      </c>
      <c r="BR45" s="151"/>
      <c r="BS45" s="144"/>
      <c r="BT45" s="144"/>
      <c r="BU45" s="151"/>
      <c r="BV45" s="151"/>
      <c r="BW45" s="151"/>
      <c r="BX45" s="175"/>
    </row>
    <row r="46" spans="1:76">
      <c r="A46" s="162" t="s">
        <v>695</v>
      </c>
      <c r="B46" s="163"/>
      <c r="C46" s="163" t="s">
        <v>54</v>
      </c>
      <c r="D46" s="164" t="s">
        <v>1</v>
      </c>
      <c r="E46" s="163" t="s">
        <v>115</v>
      </c>
      <c r="F46" s="165" t="s">
        <v>99</v>
      </c>
      <c r="G46" s="163" t="s">
        <v>100</v>
      </c>
      <c r="H46" s="166" t="s">
        <v>103</v>
      </c>
      <c r="I46" s="163" t="s">
        <v>100</v>
      </c>
      <c r="J46" s="165" t="s">
        <v>101</v>
      </c>
      <c r="K46" s="164" t="s">
        <v>559</v>
      </c>
      <c r="L46" s="164" t="s">
        <v>559</v>
      </c>
      <c r="M46" s="163" t="s">
        <v>100</v>
      </c>
      <c r="N46" s="164" t="s">
        <v>746</v>
      </c>
      <c r="O46" s="163" t="s">
        <v>100</v>
      </c>
      <c r="P46" s="164"/>
      <c r="Q46" s="164" t="s">
        <v>746</v>
      </c>
      <c r="R46" s="164" t="s">
        <v>119</v>
      </c>
      <c r="S46" s="164" t="s">
        <v>130</v>
      </c>
      <c r="T46" s="164" t="s">
        <v>120</v>
      </c>
      <c r="U46" s="164" t="s">
        <v>101</v>
      </c>
      <c r="V46" s="164" t="s">
        <v>121</v>
      </c>
      <c r="W46" s="164" t="s">
        <v>122</v>
      </c>
      <c r="X46" s="164" t="s">
        <v>123</v>
      </c>
      <c r="Y46" s="167">
        <v>1</v>
      </c>
      <c r="Z46" s="168" t="s">
        <v>764</v>
      </c>
      <c r="AA46" s="168" t="s">
        <v>764</v>
      </c>
      <c r="AB46" s="163" t="s">
        <v>114</v>
      </c>
      <c r="AC46" s="163" t="s">
        <v>124</v>
      </c>
      <c r="AD46" s="169">
        <v>45107</v>
      </c>
      <c r="AE46" s="170" t="s">
        <v>125</v>
      </c>
      <c r="AF46" s="163"/>
      <c r="AG46" s="171">
        <v>0</v>
      </c>
      <c r="AH46" s="163">
        <v>0</v>
      </c>
      <c r="AI46" s="164" t="s">
        <v>126</v>
      </c>
      <c r="AJ46" s="164"/>
      <c r="AK46" s="167">
        <v>0</v>
      </c>
      <c r="AL46" s="167"/>
      <c r="AM46" s="164"/>
      <c r="AN46" s="172"/>
      <c r="AO46" s="172">
        <v>-1</v>
      </c>
      <c r="AP46" s="172"/>
      <c r="AQ46" s="173"/>
      <c r="AR46" s="164" t="s">
        <v>127</v>
      </c>
      <c r="AS46" s="167"/>
      <c r="AT46" s="174"/>
      <c r="AU46" s="174">
        <v>0</v>
      </c>
      <c r="AV46" s="174">
        <v>0</v>
      </c>
      <c r="AW46" s="174"/>
      <c r="AX46" s="174">
        <v>0</v>
      </c>
      <c r="AY46" s="174"/>
      <c r="AZ46" s="174"/>
      <c r="BA46" s="174"/>
      <c r="BB46" s="174">
        <v>0</v>
      </c>
      <c r="BC46" s="174"/>
      <c r="BD46" s="174" t="s">
        <v>114</v>
      </c>
      <c r="BE46" s="167"/>
      <c r="BF46" s="174"/>
      <c r="BG46" s="174" t="e">
        <v>#DIV/0!</v>
      </c>
      <c r="BH46" s="174"/>
      <c r="BI46" s="174" t="s">
        <v>116</v>
      </c>
      <c r="BJ46" s="174"/>
      <c r="BK46" s="174" t="e">
        <v>#DIV/0!</v>
      </c>
      <c r="BL46" s="174"/>
      <c r="BM46" s="174"/>
      <c r="BN46" s="174"/>
      <c r="BO46" s="174"/>
      <c r="BP46" s="174"/>
      <c r="BQ46" s="174" t="e">
        <v>#DIV/0!</v>
      </c>
      <c r="BR46" s="164"/>
      <c r="BS46" s="145"/>
      <c r="BT46" s="145"/>
      <c r="BU46" s="164"/>
      <c r="BV46" s="164"/>
      <c r="BW46" s="164"/>
      <c r="BX46" s="176"/>
    </row>
    <row r="47" spans="1:76">
      <c r="A47" s="149" t="s">
        <v>696</v>
      </c>
      <c r="B47" s="150"/>
      <c r="C47" s="150" t="s">
        <v>54</v>
      </c>
      <c r="D47" s="151" t="s">
        <v>1</v>
      </c>
      <c r="E47" s="150" t="s">
        <v>115</v>
      </c>
      <c r="F47" s="152" t="s">
        <v>99</v>
      </c>
      <c r="G47" s="150" t="s">
        <v>100</v>
      </c>
      <c r="H47" s="153" t="s">
        <v>103</v>
      </c>
      <c r="I47" s="150" t="s">
        <v>100</v>
      </c>
      <c r="J47" s="152" t="s">
        <v>101</v>
      </c>
      <c r="K47" s="151" t="s">
        <v>559</v>
      </c>
      <c r="L47" s="151" t="s">
        <v>559</v>
      </c>
      <c r="M47" s="150" t="s">
        <v>100</v>
      </c>
      <c r="N47" s="151" t="s">
        <v>746</v>
      </c>
      <c r="O47" s="150" t="s">
        <v>100</v>
      </c>
      <c r="P47" s="151"/>
      <c r="Q47" s="151" t="s">
        <v>746</v>
      </c>
      <c r="R47" s="151" t="s">
        <v>119</v>
      </c>
      <c r="S47" s="151" t="s">
        <v>130</v>
      </c>
      <c r="T47" s="151" t="s">
        <v>120</v>
      </c>
      <c r="U47" s="151" t="s">
        <v>101</v>
      </c>
      <c r="V47" s="151" t="s">
        <v>121</v>
      </c>
      <c r="W47" s="151" t="s">
        <v>122</v>
      </c>
      <c r="X47" s="151" t="s">
        <v>123</v>
      </c>
      <c r="Y47" s="154">
        <v>1</v>
      </c>
      <c r="Z47" s="155" t="s">
        <v>764</v>
      </c>
      <c r="AA47" s="155" t="s">
        <v>764</v>
      </c>
      <c r="AB47" s="150" t="s">
        <v>114</v>
      </c>
      <c r="AC47" s="150" t="s">
        <v>124</v>
      </c>
      <c r="AD47" s="156">
        <v>45107</v>
      </c>
      <c r="AE47" s="157" t="s">
        <v>125</v>
      </c>
      <c r="AF47" s="150"/>
      <c r="AG47" s="158">
        <v>0</v>
      </c>
      <c r="AH47" s="150">
        <v>0</v>
      </c>
      <c r="AI47" s="151" t="s">
        <v>126</v>
      </c>
      <c r="AJ47" s="151"/>
      <c r="AK47" s="154">
        <v>0</v>
      </c>
      <c r="AL47" s="154"/>
      <c r="AM47" s="151"/>
      <c r="AN47" s="159"/>
      <c r="AO47" s="159">
        <v>-1</v>
      </c>
      <c r="AP47" s="159"/>
      <c r="AQ47" s="160"/>
      <c r="AR47" s="151" t="s">
        <v>127</v>
      </c>
      <c r="AS47" s="154"/>
      <c r="AT47" s="161"/>
      <c r="AU47" s="161">
        <v>0</v>
      </c>
      <c r="AV47" s="161">
        <v>0</v>
      </c>
      <c r="AW47" s="161"/>
      <c r="AX47" s="161">
        <v>0</v>
      </c>
      <c r="AY47" s="161"/>
      <c r="AZ47" s="161"/>
      <c r="BA47" s="161"/>
      <c r="BB47" s="161">
        <v>0</v>
      </c>
      <c r="BC47" s="161"/>
      <c r="BD47" s="161" t="s">
        <v>114</v>
      </c>
      <c r="BE47" s="154"/>
      <c r="BF47" s="161"/>
      <c r="BG47" s="161" t="e">
        <v>#DIV/0!</v>
      </c>
      <c r="BH47" s="161"/>
      <c r="BI47" s="161" t="s">
        <v>116</v>
      </c>
      <c r="BJ47" s="161"/>
      <c r="BK47" s="161" t="e">
        <v>#DIV/0!</v>
      </c>
      <c r="BL47" s="161"/>
      <c r="BM47" s="161"/>
      <c r="BN47" s="161"/>
      <c r="BO47" s="161"/>
      <c r="BP47" s="161"/>
      <c r="BQ47" s="161" t="e">
        <v>#DIV/0!</v>
      </c>
      <c r="BR47" s="151"/>
      <c r="BS47" s="144"/>
      <c r="BT47" s="144"/>
      <c r="BU47" s="151"/>
      <c r="BV47" s="151"/>
      <c r="BW47" s="151"/>
      <c r="BX47" s="175"/>
    </row>
    <row r="48" spans="1:76">
      <c r="A48" s="162" t="s">
        <v>697</v>
      </c>
      <c r="B48" s="163"/>
      <c r="C48" s="163" t="s">
        <v>54</v>
      </c>
      <c r="D48" s="164" t="s">
        <v>1</v>
      </c>
      <c r="E48" s="163" t="s">
        <v>115</v>
      </c>
      <c r="F48" s="165" t="s">
        <v>99</v>
      </c>
      <c r="G48" s="163" t="s">
        <v>100</v>
      </c>
      <c r="H48" s="166" t="s">
        <v>103</v>
      </c>
      <c r="I48" s="163" t="s">
        <v>100</v>
      </c>
      <c r="J48" s="165" t="s">
        <v>101</v>
      </c>
      <c r="K48" s="164" t="s">
        <v>559</v>
      </c>
      <c r="L48" s="164" t="s">
        <v>559</v>
      </c>
      <c r="M48" s="163" t="s">
        <v>100</v>
      </c>
      <c r="N48" s="164" t="s">
        <v>746</v>
      </c>
      <c r="O48" s="163" t="s">
        <v>100</v>
      </c>
      <c r="P48" s="164"/>
      <c r="Q48" s="164" t="s">
        <v>746</v>
      </c>
      <c r="R48" s="164" t="s">
        <v>119</v>
      </c>
      <c r="S48" s="164" t="s">
        <v>130</v>
      </c>
      <c r="T48" s="164" t="s">
        <v>120</v>
      </c>
      <c r="U48" s="164" t="s">
        <v>101</v>
      </c>
      <c r="V48" s="164" t="s">
        <v>121</v>
      </c>
      <c r="W48" s="164" t="s">
        <v>122</v>
      </c>
      <c r="X48" s="164" t="s">
        <v>123</v>
      </c>
      <c r="Y48" s="167">
        <v>1</v>
      </c>
      <c r="Z48" s="168" t="s">
        <v>764</v>
      </c>
      <c r="AA48" s="168" t="s">
        <v>764</v>
      </c>
      <c r="AB48" s="163" t="s">
        <v>114</v>
      </c>
      <c r="AC48" s="163" t="s">
        <v>124</v>
      </c>
      <c r="AD48" s="169">
        <v>45107</v>
      </c>
      <c r="AE48" s="170" t="s">
        <v>125</v>
      </c>
      <c r="AF48" s="163"/>
      <c r="AG48" s="171">
        <v>0</v>
      </c>
      <c r="AH48" s="163">
        <v>0</v>
      </c>
      <c r="AI48" s="164" t="s">
        <v>126</v>
      </c>
      <c r="AJ48" s="164"/>
      <c r="AK48" s="167">
        <v>0</v>
      </c>
      <c r="AL48" s="167"/>
      <c r="AM48" s="164"/>
      <c r="AN48" s="172"/>
      <c r="AO48" s="172">
        <v>-1</v>
      </c>
      <c r="AP48" s="172"/>
      <c r="AQ48" s="173"/>
      <c r="AR48" s="164" t="s">
        <v>127</v>
      </c>
      <c r="AS48" s="167"/>
      <c r="AT48" s="174"/>
      <c r="AU48" s="174">
        <v>0</v>
      </c>
      <c r="AV48" s="174">
        <v>0</v>
      </c>
      <c r="AW48" s="174"/>
      <c r="AX48" s="174">
        <v>0</v>
      </c>
      <c r="AY48" s="174"/>
      <c r="AZ48" s="174"/>
      <c r="BA48" s="174"/>
      <c r="BB48" s="174">
        <v>0</v>
      </c>
      <c r="BC48" s="174"/>
      <c r="BD48" s="174" t="s">
        <v>114</v>
      </c>
      <c r="BE48" s="167"/>
      <c r="BF48" s="174"/>
      <c r="BG48" s="174" t="e">
        <v>#DIV/0!</v>
      </c>
      <c r="BH48" s="174"/>
      <c r="BI48" s="174" t="s">
        <v>116</v>
      </c>
      <c r="BJ48" s="174"/>
      <c r="BK48" s="174" t="e">
        <v>#DIV/0!</v>
      </c>
      <c r="BL48" s="174"/>
      <c r="BM48" s="174"/>
      <c r="BN48" s="174"/>
      <c r="BO48" s="174"/>
      <c r="BP48" s="174"/>
      <c r="BQ48" s="174" t="e">
        <v>#DIV/0!</v>
      </c>
      <c r="BR48" s="164"/>
      <c r="BS48" s="145"/>
      <c r="BT48" s="145"/>
      <c r="BU48" s="164"/>
      <c r="BV48" s="164"/>
      <c r="BW48" s="164"/>
      <c r="BX48" s="176"/>
    </row>
    <row r="49" spans="1:76">
      <c r="A49" s="149" t="s">
        <v>698</v>
      </c>
      <c r="B49" s="150"/>
      <c r="C49" s="150" t="s">
        <v>54</v>
      </c>
      <c r="D49" s="151" t="s">
        <v>1</v>
      </c>
      <c r="E49" s="150" t="s">
        <v>115</v>
      </c>
      <c r="F49" s="152" t="s">
        <v>99</v>
      </c>
      <c r="G49" s="150" t="s">
        <v>100</v>
      </c>
      <c r="H49" s="153" t="s">
        <v>103</v>
      </c>
      <c r="I49" s="150" t="s">
        <v>100</v>
      </c>
      <c r="J49" s="152" t="s">
        <v>101</v>
      </c>
      <c r="K49" s="151" t="s">
        <v>559</v>
      </c>
      <c r="L49" s="151" t="s">
        <v>559</v>
      </c>
      <c r="M49" s="150" t="s">
        <v>100</v>
      </c>
      <c r="N49" s="151" t="s">
        <v>746</v>
      </c>
      <c r="O49" s="150" t="s">
        <v>100</v>
      </c>
      <c r="P49" s="151"/>
      <c r="Q49" s="151" t="s">
        <v>746</v>
      </c>
      <c r="R49" s="151" t="s">
        <v>119</v>
      </c>
      <c r="S49" s="151" t="s">
        <v>130</v>
      </c>
      <c r="T49" s="151" t="s">
        <v>120</v>
      </c>
      <c r="U49" s="151" t="s">
        <v>101</v>
      </c>
      <c r="V49" s="151" t="s">
        <v>121</v>
      </c>
      <c r="W49" s="151" t="s">
        <v>122</v>
      </c>
      <c r="X49" s="151" t="s">
        <v>123</v>
      </c>
      <c r="Y49" s="154">
        <v>1</v>
      </c>
      <c r="Z49" s="155" t="s">
        <v>764</v>
      </c>
      <c r="AA49" s="155" t="s">
        <v>764</v>
      </c>
      <c r="AB49" s="150" t="s">
        <v>114</v>
      </c>
      <c r="AC49" s="150" t="s">
        <v>124</v>
      </c>
      <c r="AD49" s="156">
        <v>45107</v>
      </c>
      <c r="AE49" s="157" t="s">
        <v>125</v>
      </c>
      <c r="AF49" s="150"/>
      <c r="AG49" s="158">
        <v>0</v>
      </c>
      <c r="AH49" s="150">
        <v>0</v>
      </c>
      <c r="AI49" s="151" t="s">
        <v>126</v>
      </c>
      <c r="AJ49" s="151"/>
      <c r="AK49" s="154">
        <v>0</v>
      </c>
      <c r="AL49" s="154"/>
      <c r="AM49" s="151"/>
      <c r="AN49" s="159"/>
      <c r="AO49" s="159">
        <v>-1</v>
      </c>
      <c r="AP49" s="159"/>
      <c r="AQ49" s="160"/>
      <c r="AR49" s="151" t="s">
        <v>127</v>
      </c>
      <c r="AS49" s="154"/>
      <c r="AT49" s="161"/>
      <c r="AU49" s="161">
        <v>0</v>
      </c>
      <c r="AV49" s="161">
        <v>0</v>
      </c>
      <c r="AW49" s="161"/>
      <c r="AX49" s="161">
        <v>0</v>
      </c>
      <c r="AY49" s="161"/>
      <c r="AZ49" s="161"/>
      <c r="BA49" s="161"/>
      <c r="BB49" s="161">
        <v>0</v>
      </c>
      <c r="BC49" s="161"/>
      <c r="BD49" s="161" t="s">
        <v>114</v>
      </c>
      <c r="BE49" s="154"/>
      <c r="BF49" s="161"/>
      <c r="BG49" s="161" t="e">
        <v>#DIV/0!</v>
      </c>
      <c r="BH49" s="161"/>
      <c r="BI49" s="161" t="s">
        <v>116</v>
      </c>
      <c r="BJ49" s="161"/>
      <c r="BK49" s="161" t="e">
        <v>#DIV/0!</v>
      </c>
      <c r="BL49" s="161"/>
      <c r="BM49" s="161"/>
      <c r="BN49" s="161"/>
      <c r="BO49" s="161"/>
      <c r="BP49" s="161"/>
      <c r="BQ49" s="161" t="e">
        <v>#DIV/0!</v>
      </c>
      <c r="BR49" s="151"/>
      <c r="BS49" s="144"/>
      <c r="BT49" s="144"/>
      <c r="BU49" s="151"/>
      <c r="BV49" s="151"/>
      <c r="BW49" s="151"/>
      <c r="BX49" s="175"/>
    </row>
    <row r="50" spans="1:76">
      <c r="A50" s="162" t="s">
        <v>699</v>
      </c>
      <c r="B50" s="163"/>
      <c r="C50" s="163" t="s">
        <v>54</v>
      </c>
      <c r="D50" s="164" t="s">
        <v>1</v>
      </c>
      <c r="E50" s="163" t="s">
        <v>115</v>
      </c>
      <c r="F50" s="165" t="s">
        <v>99</v>
      </c>
      <c r="G50" s="163" t="s">
        <v>100</v>
      </c>
      <c r="H50" s="166" t="s">
        <v>103</v>
      </c>
      <c r="I50" s="163" t="s">
        <v>100</v>
      </c>
      <c r="J50" s="165" t="s">
        <v>101</v>
      </c>
      <c r="K50" s="164" t="s">
        <v>559</v>
      </c>
      <c r="L50" s="164" t="s">
        <v>559</v>
      </c>
      <c r="M50" s="163" t="s">
        <v>100</v>
      </c>
      <c r="N50" s="164" t="s">
        <v>746</v>
      </c>
      <c r="O50" s="163" t="s">
        <v>100</v>
      </c>
      <c r="P50" s="164"/>
      <c r="Q50" s="164" t="s">
        <v>746</v>
      </c>
      <c r="R50" s="164" t="s">
        <v>119</v>
      </c>
      <c r="S50" s="164" t="s">
        <v>130</v>
      </c>
      <c r="T50" s="164" t="s">
        <v>120</v>
      </c>
      <c r="U50" s="164" t="s">
        <v>101</v>
      </c>
      <c r="V50" s="164" t="s">
        <v>121</v>
      </c>
      <c r="W50" s="164" t="s">
        <v>122</v>
      </c>
      <c r="X50" s="164" t="s">
        <v>123</v>
      </c>
      <c r="Y50" s="167">
        <v>1</v>
      </c>
      <c r="Z50" s="168" t="s">
        <v>764</v>
      </c>
      <c r="AA50" s="168" t="s">
        <v>764</v>
      </c>
      <c r="AB50" s="163" t="s">
        <v>114</v>
      </c>
      <c r="AC50" s="163" t="s">
        <v>124</v>
      </c>
      <c r="AD50" s="169">
        <v>45107</v>
      </c>
      <c r="AE50" s="170" t="s">
        <v>125</v>
      </c>
      <c r="AF50" s="163"/>
      <c r="AG50" s="171">
        <v>0</v>
      </c>
      <c r="AH50" s="163">
        <v>0</v>
      </c>
      <c r="AI50" s="164" t="s">
        <v>126</v>
      </c>
      <c r="AJ50" s="164"/>
      <c r="AK50" s="167">
        <v>0</v>
      </c>
      <c r="AL50" s="167"/>
      <c r="AM50" s="164"/>
      <c r="AN50" s="172"/>
      <c r="AO50" s="172">
        <v>-1</v>
      </c>
      <c r="AP50" s="172"/>
      <c r="AQ50" s="173"/>
      <c r="AR50" s="164" t="s">
        <v>127</v>
      </c>
      <c r="AS50" s="167"/>
      <c r="AT50" s="174"/>
      <c r="AU50" s="174">
        <v>0</v>
      </c>
      <c r="AV50" s="174">
        <v>0</v>
      </c>
      <c r="AW50" s="174"/>
      <c r="AX50" s="174">
        <v>0</v>
      </c>
      <c r="AY50" s="174"/>
      <c r="AZ50" s="174"/>
      <c r="BA50" s="174"/>
      <c r="BB50" s="174">
        <v>0</v>
      </c>
      <c r="BC50" s="174"/>
      <c r="BD50" s="174" t="s">
        <v>114</v>
      </c>
      <c r="BE50" s="167"/>
      <c r="BF50" s="174"/>
      <c r="BG50" s="174" t="e">
        <v>#DIV/0!</v>
      </c>
      <c r="BH50" s="174"/>
      <c r="BI50" s="174" t="s">
        <v>116</v>
      </c>
      <c r="BJ50" s="174"/>
      <c r="BK50" s="174" t="e">
        <v>#DIV/0!</v>
      </c>
      <c r="BL50" s="174"/>
      <c r="BM50" s="174"/>
      <c r="BN50" s="174"/>
      <c r="BO50" s="174"/>
      <c r="BP50" s="174"/>
      <c r="BQ50" s="174" t="e">
        <v>#DIV/0!</v>
      </c>
      <c r="BR50" s="164"/>
      <c r="BS50" s="145"/>
      <c r="BT50" s="145"/>
      <c r="BU50" s="164"/>
      <c r="BV50" s="164"/>
      <c r="BW50" s="164"/>
      <c r="BX50" s="176"/>
    </row>
    <row r="51" spans="1:76">
      <c r="A51" s="149" t="s">
        <v>700</v>
      </c>
      <c r="B51" s="150"/>
      <c r="C51" s="150" t="s">
        <v>54</v>
      </c>
      <c r="D51" s="151" t="s">
        <v>1</v>
      </c>
      <c r="E51" s="150" t="s">
        <v>115</v>
      </c>
      <c r="F51" s="152" t="s">
        <v>99</v>
      </c>
      <c r="G51" s="150" t="s">
        <v>100</v>
      </c>
      <c r="H51" s="153" t="s">
        <v>103</v>
      </c>
      <c r="I51" s="150" t="s">
        <v>100</v>
      </c>
      <c r="J51" s="152" t="s">
        <v>101</v>
      </c>
      <c r="K51" s="151" t="s">
        <v>559</v>
      </c>
      <c r="L51" s="151" t="s">
        <v>559</v>
      </c>
      <c r="M51" s="150" t="s">
        <v>100</v>
      </c>
      <c r="N51" s="151" t="s">
        <v>746</v>
      </c>
      <c r="O51" s="150" t="s">
        <v>100</v>
      </c>
      <c r="P51" s="151"/>
      <c r="Q51" s="151" t="s">
        <v>746</v>
      </c>
      <c r="R51" s="151" t="s">
        <v>119</v>
      </c>
      <c r="S51" s="151" t="s">
        <v>130</v>
      </c>
      <c r="T51" s="151" t="s">
        <v>120</v>
      </c>
      <c r="U51" s="151" t="s">
        <v>101</v>
      </c>
      <c r="V51" s="151" t="s">
        <v>121</v>
      </c>
      <c r="W51" s="151" t="s">
        <v>122</v>
      </c>
      <c r="X51" s="151" t="s">
        <v>123</v>
      </c>
      <c r="Y51" s="154">
        <v>1</v>
      </c>
      <c r="Z51" s="155" t="s">
        <v>764</v>
      </c>
      <c r="AA51" s="155" t="s">
        <v>764</v>
      </c>
      <c r="AB51" s="150" t="s">
        <v>114</v>
      </c>
      <c r="AC51" s="150" t="s">
        <v>124</v>
      </c>
      <c r="AD51" s="156">
        <v>45107</v>
      </c>
      <c r="AE51" s="157" t="s">
        <v>125</v>
      </c>
      <c r="AF51" s="150"/>
      <c r="AG51" s="158">
        <v>0</v>
      </c>
      <c r="AH51" s="150">
        <v>0</v>
      </c>
      <c r="AI51" s="151" t="s">
        <v>126</v>
      </c>
      <c r="AJ51" s="151"/>
      <c r="AK51" s="154">
        <v>0</v>
      </c>
      <c r="AL51" s="154"/>
      <c r="AM51" s="151"/>
      <c r="AN51" s="159"/>
      <c r="AO51" s="159">
        <v>-1</v>
      </c>
      <c r="AP51" s="159"/>
      <c r="AQ51" s="160"/>
      <c r="AR51" s="151" t="s">
        <v>127</v>
      </c>
      <c r="AS51" s="154"/>
      <c r="AT51" s="161"/>
      <c r="AU51" s="161">
        <v>0</v>
      </c>
      <c r="AV51" s="161">
        <v>0</v>
      </c>
      <c r="AW51" s="161"/>
      <c r="AX51" s="161">
        <v>0</v>
      </c>
      <c r="AY51" s="161"/>
      <c r="AZ51" s="161"/>
      <c r="BA51" s="161"/>
      <c r="BB51" s="161">
        <v>0</v>
      </c>
      <c r="BC51" s="161"/>
      <c r="BD51" s="161" t="s">
        <v>114</v>
      </c>
      <c r="BE51" s="154"/>
      <c r="BF51" s="161"/>
      <c r="BG51" s="161" t="e">
        <v>#DIV/0!</v>
      </c>
      <c r="BH51" s="161"/>
      <c r="BI51" s="161" t="s">
        <v>116</v>
      </c>
      <c r="BJ51" s="161"/>
      <c r="BK51" s="161" t="e">
        <v>#DIV/0!</v>
      </c>
      <c r="BL51" s="161"/>
      <c r="BM51" s="161"/>
      <c r="BN51" s="161"/>
      <c r="BO51" s="161"/>
      <c r="BP51" s="161"/>
      <c r="BQ51" s="161" t="e">
        <v>#DIV/0!</v>
      </c>
      <c r="BR51" s="151"/>
      <c r="BS51" s="144"/>
      <c r="BT51" s="144"/>
      <c r="BU51" s="151"/>
      <c r="BV51" s="151"/>
      <c r="BW51" s="151"/>
      <c r="BX51" s="175"/>
    </row>
    <row r="52" spans="1:76">
      <c r="A52" s="162" t="s">
        <v>701</v>
      </c>
      <c r="B52" s="163"/>
      <c r="C52" s="163" t="s">
        <v>54</v>
      </c>
      <c r="D52" s="164" t="s">
        <v>1</v>
      </c>
      <c r="E52" s="163" t="s">
        <v>115</v>
      </c>
      <c r="F52" s="165" t="s">
        <v>99</v>
      </c>
      <c r="G52" s="163" t="s">
        <v>100</v>
      </c>
      <c r="H52" s="166" t="s">
        <v>103</v>
      </c>
      <c r="I52" s="163" t="s">
        <v>100</v>
      </c>
      <c r="J52" s="165" t="s">
        <v>101</v>
      </c>
      <c r="K52" s="164" t="s">
        <v>559</v>
      </c>
      <c r="L52" s="164" t="s">
        <v>559</v>
      </c>
      <c r="M52" s="163" t="s">
        <v>100</v>
      </c>
      <c r="N52" s="164" t="s">
        <v>746</v>
      </c>
      <c r="O52" s="163" t="s">
        <v>100</v>
      </c>
      <c r="P52" s="164"/>
      <c r="Q52" s="164" t="s">
        <v>746</v>
      </c>
      <c r="R52" s="164" t="s">
        <v>119</v>
      </c>
      <c r="S52" s="164" t="s">
        <v>130</v>
      </c>
      <c r="T52" s="164" t="s">
        <v>120</v>
      </c>
      <c r="U52" s="164" t="s">
        <v>101</v>
      </c>
      <c r="V52" s="164" t="s">
        <v>121</v>
      </c>
      <c r="W52" s="164" t="s">
        <v>122</v>
      </c>
      <c r="X52" s="164" t="s">
        <v>123</v>
      </c>
      <c r="Y52" s="167">
        <v>1</v>
      </c>
      <c r="Z52" s="168" t="s">
        <v>764</v>
      </c>
      <c r="AA52" s="168" t="s">
        <v>764</v>
      </c>
      <c r="AB52" s="163" t="s">
        <v>114</v>
      </c>
      <c r="AC52" s="163" t="s">
        <v>124</v>
      </c>
      <c r="AD52" s="169">
        <v>45107</v>
      </c>
      <c r="AE52" s="170" t="s">
        <v>125</v>
      </c>
      <c r="AF52" s="163"/>
      <c r="AG52" s="171">
        <v>0</v>
      </c>
      <c r="AH52" s="163">
        <v>0</v>
      </c>
      <c r="AI52" s="164" t="s">
        <v>126</v>
      </c>
      <c r="AJ52" s="164"/>
      <c r="AK52" s="167">
        <v>0</v>
      </c>
      <c r="AL52" s="167"/>
      <c r="AM52" s="164"/>
      <c r="AN52" s="172"/>
      <c r="AO52" s="172">
        <v>-1</v>
      </c>
      <c r="AP52" s="172"/>
      <c r="AQ52" s="173"/>
      <c r="AR52" s="164" t="s">
        <v>127</v>
      </c>
      <c r="AS52" s="167"/>
      <c r="AT52" s="174"/>
      <c r="AU52" s="174">
        <v>0</v>
      </c>
      <c r="AV52" s="174">
        <v>0</v>
      </c>
      <c r="AW52" s="174"/>
      <c r="AX52" s="174">
        <v>0</v>
      </c>
      <c r="AY52" s="174"/>
      <c r="AZ52" s="174"/>
      <c r="BA52" s="174"/>
      <c r="BB52" s="174">
        <v>0</v>
      </c>
      <c r="BC52" s="174"/>
      <c r="BD52" s="174" t="s">
        <v>114</v>
      </c>
      <c r="BE52" s="167"/>
      <c r="BF52" s="174"/>
      <c r="BG52" s="174" t="e">
        <v>#DIV/0!</v>
      </c>
      <c r="BH52" s="174"/>
      <c r="BI52" s="174" t="s">
        <v>116</v>
      </c>
      <c r="BJ52" s="174"/>
      <c r="BK52" s="174" t="e">
        <v>#DIV/0!</v>
      </c>
      <c r="BL52" s="174"/>
      <c r="BM52" s="174"/>
      <c r="BN52" s="174"/>
      <c r="BO52" s="174"/>
      <c r="BP52" s="174"/>
      <c r="BQ52" s="174" t="e">
        <v>#DIV/0!</v>
      </c>
      <c r="BR52" s="164"/>
      <c r="BS52" s="145"/>
      <c r="BT52" s="145"/>
      <c r="BU52" s="164"/>
      <c r="BV52" s="164"/>
      <c r="BW52" s="164"/>
      <c r="BX52" s="176"/>
    </row>
    <row r="53" spans="1:76">
      <c r="A53" s="149" t="s">
        <v>702</v>
      </c>
      <c r="B53" s="150"/>
      <c r="C53" s="150" t="s">
        <v>54</v>
      </c>
      <c r="D53" s="151" t="s">
        <v>1</v>
      </c>
      <c r="E53" s="150" t="s">
        <v>115</v>
      </c>
      <c r="F53" s="152" t="s">
        <v>99</v>
      </c>
      <c r="G53" s="150" t="s">
        <v>100</v>
      </c>
      <c r="H53" s="153" t="s">
        <v>103</v>
      </c>
      <c r="I53" s="150" t="s">
        <v>100</v>
      </c>
      <c r="J53" s="152" t="s">
        <v>101</v>
      </c>
      <c r="K53" s="151" t="s">
        <v>559</v>
      </c>
      <c r="L53" s="151" t="s">
        <v>559</v>
      </c>
      <c r="M53" s="150" t="s">
        <v>100</v>
      </c>
      <c r="N53" s="151" t="s">
        <v>746</v>
      </c>
      <c r="O53" s="150" t="s">
        <v>100</v>
      </c>
      <c r="P53" s="151"/>
      <c r="Q53" s="151" t="s">
        <v>746</v>
      </c>
      <c r="R53" s="151" t="s">
        <v>119</v>
      </c>
      <c r="S53" s="151" t="s">
        <v>130</v>
      </c>
      <c r="T53" s="151" t="s">
        <v>120</v>
      </c>
      <c r="U53" s="151" t="s">
        <v>101</v>
      </c>
      <c r="V53" s="151" t="s">
        <v>121</v>
      </c>
      <c r="W53" s="151" t="s">
        <v>122</v>
      </c>
      <c r="X53" s="151" t="s">
        <v>123</v>
      </c>
      <c r="Y53" s="154">
        <v>1</v>
      </c>
      <c r="Z53" s="155" t="s">
        <v>764</v>
      </c>
      <c r="AA53" s="155" t="s">
        <v>764</v>
      </c>
      <c r="AB53" s="150" t="s">
        <v>114</v>
      </c>
      <c r="AC53" s="150" t="s">
        <v>124</v>
      </c>
      <c r="AD53" s="156">
        <v>45107</v>
      </c>
      <c r="AE53" s="157" t="s">
        <v>125</v>
      </c>
      <c r="AF53" s="150"/>
      <c r="AG53" s="158">
        <v>0</v>
      </c>
      <c r="AH53" s="150">
        <v>0</v>
      </c>
      <c r="AI53" s="151" t="s">
        <v>126</v>
      </c>
      <c r="AJ53" s="151"/>
      <c r="AK53" s="154">
        <v>0</v>
      </c>
      <c r="AL53" s="154"/>
      <c r="AM53" s="151"/>
      <c r="AN53" s="159"/>
      <c r="AO53" s="159">
        <v>-1</v>
      </c>
      <c r="AP53" s="159"/>
      <c r="AQ53" s="160"/>
      <c r="AR53" s="151" t="s">
        <v>127</v>
      </c>
      <c r="AS53" s="154"/>
      <c r="AT53" s="161"/>
      <c r="AU53" s="161">
        <v>0</v>
      </c>
      <c r="AV53" s="161">
        <v>0</v>
      </c>
      <c r="AW53" s="161"/>
      <c r="AX53" s="161">
        <v>0</v>
      </c>
      <c r="AY53" s="161"/>
      <c r="AZ53" s="161"/>
      <c r="BA53" s="161"/>
      <c r="BB53" s="161">
        <v>0</v>
      </c>
      <c r="BC53" s="161"/>
      <c r="BD53" s="161" t="s">
        <v>114</v>
      </c>
      <c r="BE53" s="154"/>
      <c r="BF53" s="161"/>
      <c r="BG53" s="161" t="e">
        <v>#DIV/0!</v>
      </c>
      <c r="BH53" s="161"/>
      <c r="BI53" s="161" t="s">
        <v>116</v>
      </c>
      <c r="BJ53" s="161"/>
      <c r="BK53" s="161" t="e">
        <v>#DIV/0!</v>
      </c>
      <c r="BL53" s="161"/>
      <c r="BM53" s="161"/>
      <c r="BN53" s="161"/>
      <c r="BO53" s="161"/>
      <c r="BP53" s="161"/>
      <c r="BQ53" s="161" t="e">
        <v>#DIV/0!</v>
      </c>
      <c r="BR53" s="151"/>
      <c r="BS53" s="144"/>
      <c r="BT53" s="144"/>
      <c r="BU53" s="151"/>
      <c r="BV53" s="151"/>
      <c r="BW53" s="151"/>
      <c r="BX53" s="175"/>
    </row>
    <row r="54" spans="1:76">
      <c r="A54" s="162" t="s">
        <v>703</v>
      </c>
      <c r="B54" s="163"/>
      <c r="C54" s="163" t="s">
        <v>54</v>
      </c>
      <c r="D54" s="164" t="s">
        <v>1</v>
      </c>
      <c r="E54" s="163" t="s">
        <v>115</v>
      </c>
      <c r="F54" s="165" t="s">
        <v>99</v>
      </c>
      <c r="G54" s="163" t="s">
        <v>100</v>
      </c>
      <c r="H54" s="166" t="s">
        <v>103</v>
      </c>
      <c r="I54" s="163" t="s">
        <v>100</v>
      </c>
      <c r="J54" s="165" t="s">
        <v>101</v>
      </c>
      <c r="K54" s="164" t="s">
        <v>559</v>
      </c>
      <c r="L54" s="164" t="s">
        <v>559</v>
      </c>
      <c r="M54" s="163" t="s">
        <v>100</v>
      </c>
      <c r="N54" s="164" t="s">
        <v>746</v>
      </c>
      <c r="O54" s="163" t="s">
        <v>100</v>
      </c>
      <c r="P54" s="164"/>
      <c r="Q54" s="164" t="s">
        <v>746</v>
      </c>
      <c r="R54" s="164" t="s">
        <v>119</v>
      </c>
      <c r="S54" s="164" t="s">
        <v>130</v>
      </c>
      <c r="T54" s="164" t="s">
        <v>120</v>
      </c>
      <c r="U54" s="164" t="s">
        <v>101</v>
      </c>
      <c r="V54" s="164" t="s">
        <v>121</v>
      </c>
      <c r="W54" s="164" t="s">
        <v>122</v>
      </c>
      <c r="X54" s="164" t="s">
        <v>123</v>
      </c>
      <c r="Y54" s="167">
        <v>1</v>
      </c>
      <c r="Z54" s="168" t="s">
        <v>764</v>
      </c>
      <c r="AA54" s="168" t="s">
        <v>764</v>
      </c>
      <c r="AB54" s="163" t="s">
        <v>114</v>
      </c>
      <c r="AC54" s="163" t="s">
        <v>124</v>
      </c>
      <c r="AD54" s="169">
        <v>45107</v>
      </c>
      <c r="AE54" s="170" t="s">
        <v>125</v>
      </c>
      <c r="AF54" s="163"/>
      <c r="AG54" s="171">
        <v>0</v>
      </c>
      <c r="AH54" s="163">
        <v>0</v>
      </c>
      <c r="AI54" s="164" t="s">
        <v>126</v>
      </c>
      <c r="AJ54" s="164"/>
      <c r="AK54" s="167">
        <v>0</v>
      </c>
      <c r="AL54" s="167"/>
      <c r="AM54" s="164"/>
      <c r="AN54" s="172"/>
      <c r="AO54" s="172">
        <v>-1</v>
      </c>
      <c r="AP54" s="172"/>
      <c r="AQ54" s="173"/>
      <c r="AR54" s="164" t="s">
        <v>127</v>
      </c>
      <c r="AS54" s="167"/>
      <c r="AT54" s="174"/>
      <c r="AU54" s="174">
        <v>0</v>
      </c>
      <c r="AV54" s="174">
        <v>0</v>
      </c>
      <c r="AW54" s="174"/>
      <c r="AX54" s="174">
        <v>0</v>
      </c>
      <c r="AY54" s="174"/>
      <c r="AZ54" s="174"/>
      <c r="BA54" s="174"/>
      <c r="BB54" s="174">
        <v>0</v>
      </c>
      <c r="BC54" s="174"/>
      <c r="BD54" s="174" t="s">
        <v>114</v>
      </c>
      <c r="BE54" s="167"/>
      <c r="BF54" s="174"/>
      <c r="BG54" s="174" t="e">
        <v>#DIV/0!</v>
      </c>
      <c r="BH54" s="174"/>
      <c r="BI54" s="174" t="s">
        <v>116</v>
      </c>
      <c r="BJ54" s="174"/>
      <c r="BK54" s="174" t="e">
        <v>#DIV/0!</v>
      </c>
      <c r="BL54" s="174"/>
      <c r="BM54" s="174"/>
      <c r="BN54" s="174"/>
      <c r="BO54" s="174"/>
      <c r="BP54" s="174"/>
      <c r="BQ54" s="174" t="e">
        <v>#DIV/0!</v>
      </c>
      <c r="BR54" s="164"/>
      <c r="BS54" s="145"/>
      <c r="BT54" s="145"/>
      <c r="BU54" s="164"/>
      <c r="BV54" s="164"/>
      <c r="BW54" s="164"/>
      <c r="BX54" s="176"/>
    </row>
    <row r="55" spans="1:76">
      <c r="A55" s="149" t="s">
        <v>704</v>
      </c>
      <c r="B55" s="150"/>
      <c r="C55" s="150" t="s">
        <v>54</v>
      </c>
      <c r="D55" s="151" t="s">
        <v>1</v>
      </c>
      <c r="E55" s="150" t="s">
        <v>115</v>
      </c>
      <c r="F55" s="152" t="s">
        <v>99</v>
      </c>
      <c r="G55" s="150" t="s">
        <v>100</v>
      </c>
      <c r="H55" s="153" t="s">
        <v>103</v>
      </c>
      <c r="I55" s="150" t="s">
        <v>100</v>
      </c>
      <c r="J55" s="152" t="s">
        <v>101</v>
      </c>
      <c r="K55" s="151" t="s">
        <v>559</v>
      </c>
      <c r="L55" s="151" t="s">
        <v>559</v>
      </c>
      <c r="M55" s="150" t="s">
        <v>100</v>
      </c>
      <c r="N55" s="151" t="s">
        <v>746</v>
      </c>
      <c r="O55" s="150" t="s">
        <v>100</v>
      </c>
      <c r="P55" s="151"/>
      <c r="Q55" s="151" t="s">
        <v>746</v>
      </c>
      <c r="R55" s="151" t="s">
        <v>119</v>
      </c>
      <c r="S55" s="151" t="s">
        <v>130</v>
      </c>
      <c r="T55" s="151" t="s">
        <v>120</v>
      </c>
      <c r="U55" s="151" t="s">
        <v>101</v>
      </c>
      <c r="V55" s="151" t="s">
        <v>121</v>
      </c>
      <c r="W55" s="151" t="s">
        <v>122</v>
      </c>
      <c r="X55" s="151" t="s">
        <v>123</v>
      </c>
      <c r="Y55" s="154">
        <v>1</v>
      </c>
      <c r="Z55" s="155" t="s">
        <v>764</v>
      </c>
      <c r="AA55" s="155" t="s">
        <v>764</v>
      </c>
      <c r="AB55" s="150" t="s">
        <v>114</v>
      </c>
      <c r="AC55" s="150" t="s">
        <v>124</v>
      </c>
      <c r="AD55" s="156">
        <v>45107</v>
      </c>
      <c r="AE55" s="157" t="s">
        <v>125</v>
      </c>
      <c r="AF55" s="150"/>
      <c r="AG55" s="158">
        <v>0</v>
      </c>
      <c r="AH55" s="150">
        <v>0</v>
      </c>
      <c r="AI55" s="151" t="s">
        <v>126</v>
      </c>
      <c r="AJ55" s="151"/>
      <c r="AK55" s="154">
        <v>0</v>
      </c>
      <c r="AL55" s="154"/>
      <c r="AM55" s="151"/>
      <c r="AN55" s="159"/>
      <c r="AO55" s="159">
        <v>-1</v>
      </c>
      <c r="AP55" s="159"/>
      <c r="AQ55" s="160"/>
      <c r="AR55" s="151" t="s">
        <v>127</v>
      </c>
      <c r="AS55" s="154"/>
      <c r="AT55" s="161"/>
      <c r="AU55" s="161">
        <v>0</v>
      </c>
      <c r="AV55" s="161">
        <v>0</v>
      </c>
      <c r="AW55" s="161"/>
      <c r="AX55" s="161">
        <v>0</v>
      </c>
      <c r="AY55" s="161"/>
      <c r="AZ55" s="161"/>
      <c r="BA55" s="161"/>
      <c r="BB55" s="161">
        <v>0</v>
      </c>
      <c r="BC55" s="161"/>
      <c r="BD55" s="161" t="s">
        <v>114</v>
      </c>
      <c r="BE55" s="154"/>
      <c r="BF55" s="161"/>
      <c r="BG55" s="161" t="e">
        <v>#DIV/0!</v>
      </c>
      <c r="BH55" s="161"/>
      <c r="BI55" s="161" t="s">
        <v>116</v>
      </c>
      <c r="BJ55" s="161"/>
      <c r="BK55" s="161" t="e">
        <v>#DIV/0!</v>
      </c>
      <c r="BL55" s="161"/>
      <c r="BM55" s="161"/>
      <c r="BN55" s="161"/>
      <c r="BO55" s="161"/>
      <c r="BP55" s="161"/>
      <c r="BQ55" s="161" t="e">
        <v>#DIV/0!</v>
      </c>
      <c r="BR55" s="151"/>
      <c r="BS55" s="144"/>
      <c r="BT55" s="144"/>
      <c r="BU55" s="151"/>
      <c r="BV55" s="151"/>
      <c r="BW55" s="151"/>
      <c r="BX55" s="175"/>
    </row>
    <row r="56" spans="1:76">
      <c r="A56" s="162" t="s">
        <v>705</v>
      </c>
      <c r="B56" s="163"/>
      <c r="C56" s="163" t="s">
        <v>54</v>
      </c>
      <c r="D56" s="164" t="s">
        <v>1</v>
      </c>
      <c r="E56" s="163" t="s">
        <v>115</v>
      </c>
      <c r="F56" s="165" t="s">
        <v>99</v>
      </c>
      <c r="G56" s="163" t="s">
        <v>100</v>
      </c>
      <c r="H56" s="166" t="s">
        <v>103</v>
      </c>
      <c r="I56" s="163" t="s">
        <v>100</v>
      </c>
      <c r="J56" s="165" t="s">
        <v>101</v>
      </c>
      <c r="K56" s="164" t="s">
        <v>559</v>
      </c>
      <c r="L56" s="164" t="s">
        <v>559</v>
      </c>
      <c r="M56" s="163" t="s">
        <v>100</v>
      </c>
      <c r="N56" s="164" t="s">
        <v>746</v>
      </c>
      <c r="O56" s="163" t="s">
        <v>100</v>
      </c>
      <c r="P56" s="164"/>
      <c r="Q56" s="164" t="s">
        <v>746</v>
      </c>
      <c r="R56" s="164" t="s">
        <v>119</v>
      </c>
      <c r="S56" s="164" t="s">
        <v>130</v>
      </c>
      <c r="T56" s="164" t="s">
        <v>120</v>
      </c>
      <c r="U56" s="164" t="s">
        <v>101</v>
      </c>
      <c r="V56" s="164" t="s">
        <v>121</v>
      </c>
      <c r="W56" s="164" t="s">
        <v>122</v>
      </c>
      <c r="X56" s="164" t="s">
        <v>123</v>
      </c>
      <c r="Y56" s="167">
        <v>1</v>
      </c>
      <c r="Z56" s="168" t="s">
        <v>764</v>
      </c>
      <c r="AA56" s="168" t="s">
        <v>764</v>
      </c>
      <c r="AB56" s="163" t="s">
        <v>114</v>
      </c>
      <c r="AC56" s="163" t="s">
        <v>124</v>
      </c>
      <c r="AD56" s="169">
        <v>45107</v>
      </c>
      <c r="AE56" s="170" t="s">
        <v>125</v>
      </c>
      <c r="AF56" s="163"/>
      <c r="AG56" s="171">
        <v>0</v>
      </c>
      <c r="AH56" s="163">
        <v>0</v>
      </c>
      <c r="AI56" s="164" t="s">
        <v>126</v>
      </c>
      <c r="AJ56" s="164"/>
      <c r="AK56" s="167">
        <v>0</v>
      </c>
      <c r="AL56" s="167"/>
      <c r="AM56" s="164"/>
      <c r="AN56" s="172"/>
      <c r="AO56" s="172">
        <v>-1</v>
      </c>
      <c r="AP56" s="172"/>
      <c r="AQ56" s="173"/>
      <c r="AR56" s="164" t="s">
        <v>127</v>
      </c>
      <c r="AS56" s="167"/>
      <c r="AT56" s="174"/>
      <c r="AU56" s="174">
        <v>0</v>
      </c>
      <c r="AV56" s="174">
        <v>0</v>
      </c>
      <c r="AW56" s="174"/>
      <c r="AX56" s="174">
        <v>0</v>
      </c>
      <c r="AY56" s="174"/>
      <c r="AZ56" s="174"/>
      <c r="BA56" s="174"/>
      <c r="BB56" s="174">
        <v>0</v>
      </c>
      <c r="BC56" s="174"/>
      <c r="BD56" s="174" t="s">
        <v>114</v>
      </c>
      <c r="BE56" s="167"/>
      <c r="BF56" s="174"/>
      <c r="BG56" s="174" t="e">
        <v>#DIV/0!</v>
      </c>
      <c r="BH56" s="174"/>
      <c r="BI56" s="174" t="s">
        <v>116</v>
      </c>
      <c r="BJ56" s="174"/>
      <c r="BK56" s="174" t="e">
        <v>#DIV/0!</v>
      </c>
      <c r="BL56" s="174"/>
      <c r="BM56" s="174"/>
      <c r="BN56" s="174"/>
      <c r="BO56" s="174"/>
      <c r="BP56" s="174"/>
      <c r="BQ56" s="174" t="e">
        <v>#DIV/0!</v>
      </c>
      <c r="BR56" s="164"/>
      <c r="BS56" s="145"/>
      <c r="BT56" s="145"/>
      <c r="BU56" s="164"/>
      <c r="BV56" s="164"/>
      <c r="BW56" s="164"/>
      <c r="BX56" s="176"/>
    </row>
    <row r="57" spans="1:76">
      <c r="A57" s="149" t="s">
        <v>706</v>
      </c>
      <c r="B57" s="150"/>
      <c r="C57" s="150" t="s">
        <v>54</v>
      </c>
      <c r="D57" s="151" t="s">
        <v>1</v>
      </c>
      <c r="E57" s="150" t="s">
        <v>115</v>
      </c>
      <c r="F57" s="152" t="s">
        <v>99</v>
      </c>
      <c r="G57" s="150" t="s">
        <v>100</v>
      </c>
      <c r="H57" s="153" t="s">
        <v>103</v>
      </c>
      <c r="I57" s="150" t="s">
        <v>100</v>
      </c>
      <c r="J57" s="152" t="s">
        <v>101</v>
      </c>
      <c r="K57" s="151" t="s">
        <v>559</v>
      </c>
      <c r="L57" s="151" t="s">
        <v>559</v>
      </c>
      <c r="M57" s="150" t="s">
        <v>100</v>
      </c>
      <c r="N57" s="151" t="s">
        <v>746</v>
      </c>
      <c r="O57" s="150" t="s">
        <v>100</v>
      </c>
      <c r="P57" s="151"/>
      <c r="Q57" s="151" t="s">
        <v>746</v>
      </c>
      <c r="R57" s="151" t="s">
        <v>119</v>
      </c>
      <c r="S57" s="151" t="s">
        <v>130</v>
      </c>
      <c r="T57" s="151" t="s">
        <v>120</v>
      </c>
      <c r="U57" s="151" t="s">
        <v>101</v>
      </c>
      <c r="V57" s="151" t="s">
        <v>121</v>
      </c>
      <c r="W57" s="151" t="s">
        <v>122</v>
      </c>
      <c r="X57" s="151" t="s">
        <v>123</v>
      </c>
      <c r="Y57" s="154">
        <v>1</v>
      </c>
      <c r="Z57" s="155" t="s">
        <v>764</v>
      </c>
      <c r="AA57" s="155" t="s">
        <v>764</v>
      </c>
      <c r="AB57" s="150" t="s">
        <v>114</v>
      </c>
      <c r="AC57" s="150" t="s">
        <v>124</v>
      </c>
      <c r="AD57" s="156">
        <v>45107</v>
      </c>
      <c r="AE57" s="157" t="s">
        <v>125</v>
      </c>
      <c r="AF57" s="150"/>
      <c r="AG57" s="158">
        <v>0</v>
      </c>
      <c r="AH57" s="150">
        <v>0</v>
      </c>
      <c r="AI57" s="151" t="s">
        <v>126</v>
      </c>
      <c r="AJ57" s="151"/>
      <c r="AK57" s="154">
        <v>0</v>
      </c>
      <c r="AL57" s="154"/>
      <c r="AM57" s="151"/>
      <c r="AN57" s="159"/>
      <c r="AO57" s="159">
        <v>-1</v>
      </c>
      <c r="AP57" s="159"/>
      <c r="AQ57" s="160"/>
      <c r="AR57" s="151" t="s">
        <v>127</v>
      </c>
      <c r="AS57" s="154"/>
      <c r="AT57" s="161"/>
      <c r="AU57" s="161">
        <v>0</v>
      </c>
      <c r="AV57" s="161">
        <v>0</v>
      </c>
      <c r="AW57" s="161"/>
      <c r="AX57" s="161">
        <v>0</v>
      </c>
      <c r="AY57" s="161"/>
      <c r="AZ57" s="161"/>
      <c r="BA57" s="161"/>
      <c r="BB57" s="161">
        <v>0</v>
      </c>
      <c r="BC57" s="161"/>
      <c r="BD57" s="161" t="s">
        <v>114</v>
      </c>
      <c r="BE57" s="154"/>
      <c r="BF57" s="161"/>
      <c r="BG57" s="161" t="e">
        <v>#DIV/0!</v>
      </c>
      <c r="BH57" s="161"/>
      <c r="BI57" s="161" t="s">
        <v>116</v>
      </c>
      <c r="BJ57" s="161"/>
      <c r="BK57" s="161" t="e">
        <v>#DIV/0!</v>
      </c>
      <c r="BL57" s="161"/>
      <c r="BM57" s="161"/>
      <c r="BN57" s="161"/>
      <c r="BO57" s="161"/>
      <c r="BP57" s="161"/>
      <c r="BQ57" s="161" t="e">
        <v>#DIV/0!</v>
      </c>
      <c r="BR57" s="151"/>
      <c r="BS57" s="144"/>
      <c r="BT57" s="144"/>
      <c r="BU57" s="151"/>
      <c r="BV57" s="151"/>
      <c r="BW57" s="151"/>
      <c r="BX57" s="175"/>
    </row>
    <row r="58" spans="1:76">
      <c r="A58" s="162" t="s">
        <v>707</v>
      </c>
      <c r="B58" s="163"/>
      <c r="C58" s="163" t="s">
        <v>54</v>
      </c>
      <c r="D58" s="164" t="s">
        <v>1</v>
      </c>
      <c r="E58" s="163" t="s">
        <v>115</v>
      </c>
      <c r="F58" s="165" t="s">
        <v>99</v>
      </c>
      <c r="G58" s="163" t="s">
        <v>100</v>
      </c>
      <c r="H58" s="166" t="s">
        <v>103</v>
      </c>
      <c r="I58" s="163" t="s">
        <v>100</v>
      </c>
      <c r="J58" s="165" t="s">
        <v>101</v>
      </c>
      <c r="K58" s="164" t="s">
        <v>559</v>
      </c>
      <c r="L58" s="164" t="s">
        <v>559</v>
      </c>
      <c r="M58" s="163" t="s">
        <v>100</v>
      </c>
      <c r="N58" s="164" t="s">
        <v>746</v>
      </c>
      <c r="O58" s="163" t="s">
        <v>100</v>
      </c>
      <c r="P58" s="164"/>
      <c r="Q58" s="164" t="s">
        <v>746</v>
      </c>
      <c r="R58" s="164" t="s">
        <v>119</v>
      </c>
      <c r="S58" s="164" t="s">
        <v>130</v>
      </c>
      <c r="T58" s="164" t="s">
        <v>120</v>
      </c>
      <c r="U58" s="164" t="s">
        <v>101</v>
      </c>
      <c r="V58" s="164" t="s">
        <v>121</v>
      </c>
      <c r="W58" s="164" t="s">
        <v>122</v>
      </c>
      <c r="X58" s="164" t="s">
        <v>123</v>
      </c>
      <c r="Y58" s="167">
        <v>1</v>
      </c>
      <c r="Z58" s="168" t="s">
        <v>764</v>
      </c>
      <c r="AA58" s="168" t="s">
        <v>764</v>
      </c>
      <c r="AB58" s="163" t="s">
        <v>114</v>
      </c>
      <c r="AC58" s="163" t="s">
        <v>124</v>
      </c>
      <c r="AD58" s="169">
        <v>45107</v>
      </c>
      <c r="AE58" s="170" t="s">
        <v>125</v>
      </c>
      <c r="AF58" s="163"/>
      <c r="AG58" s="171">
        <v>0</v>
      </c>
      <c r="AH58" s="163">
        <v>0</v>
      </c>
      <c r="AI58" s="164" t="s">
        <v>126</v>
      </c>
      <c r="AJ58" s="164"/>
      <c r="AK58" s="167">
        <v>0</v>
      </c>
      <c r="AL58" s="167"/>
      <c r="AM58" s="164"/>
      <c r="AN58" s="172"/>
      <c r="AO58" s="172">
        <v>-1</v>
      </c>
      <c r="AP58" s="172"/>
      <c r="AQ58" s="173"/>
      <c r="AR58" s="164" t="s">
        <v>127</v>
      </c>
      <c r="AS58" s="167"/>
      <c r="AT58" s="174"/>
      <c r="AU58" s="174">
        <v>0</v>
      </c>
      <c r="AV58" s="174">
        <v>0</v>
      </c>
      <c r="AW58" s="174"/>
      <c r="AX58" s="174">
        <v>0</v>
      </c>
      <c r="AY58" s="174"/>
      <c r="AZ58" s="174"/>
      <c r="BA58" s="174"/>
      <c r="BB58" s="174">
        <v>0</v>
      </c>
      <c r="BC58" s="174"/>
      <c r="BD58" s="174" t="s">
        <v>114</v>
      </c>
      <c r="BE58" s="167"/>
      <c r="BF58" s="174"/>
      <c r="BG58" s="174" t="e">
        <v>#DIV/0!</v>
      </c>
      <c r="BH58" s="174"/>
      <c r="BI58" s="174" t="s">
        <v>116</v>
      </c>
      <c r="BJ58" s="174"/>
      <c r="BK58" s="174" t="e">
        <v>#DIV/0!</v>
      </c>
      <c r="BL58" s="174"/>
      <c r="BM58" s="174"/>
      <c r="BN58" s="174"/>
      <c r="BO58" s="174"/>
      <c r="BP58" s="174"/>
      <c r="BQ58" s="174" t="e">
        <v>#DIV/0!</v>
      </c>
      <c r="BR58" s="164"/>
      <c r="BS58" s="145"/>
      <c r="BT58" s="145"/>
      <c r="BU58" s="164"/>
      <c r="BV58" s="164"/>
      <c r="BW58" s="164"/>
      <c r="BX58" s="176"/>
    </row>
    <row r="59" spans="1:76">
      <c r="A59" s="149" t="s">
        <v>708</v>
      </c>
      <c r="B59" s="150"/>
      <c r="C59" s="150" t="s">
        <v>54</v>
      </c>
      <c r="D59" s="151" t="s">
        <v>1</v>
      </c>
      <c r="E59" s="150" t="s">
        <v>115</v>
      </c>
      <c r="F59" s="152" t="s">
        <v>99</v>
      </c>
      <c r="G59" s="150" t="s">
        <v>100</v>
      </c>
      <c r="H59" s="153" t="s">
        <v>103</v>
      </c>
      <c r="I59" s="150" t="s">
        <v>100</v>
      </c>
      <c r="J59" s="152" t="s">
        <v>101</v>
      </c>
      <c r="K59" s="151" t="s">
        <v>559</v>
      </c>
      <c r="L59" s="151" t="s">
        <v>559</v>
      </c>
      <c r="M59" s="150" t="s">
        <v>100</v>
      </c>
      <c r="N59" s="151" t="s">
        <v>746</v>
      </c>
      <c r="O59" s="150" t="s">
        <v>100</v>
      </c>
      <c r="P59" s="151"/>
      <c r="Q59" s="151" t="s">
        <v>746</v>
      </c>
      <c r="R59" s="151" t="s">
        <v>119</v>
      </c>
      <c r="S59" s="151" t="s">
        <v>130</v>
      </c>
      <c r="T59" s="151" t="s">
        <v>120</v>
      </c>
      <c r="U59" s="151" t="s">
        <v>101</v>
      </c>
      <c r="V59" s="151" t="s">
        <v>121</v>
      </c>
      <c r="W59" s="151" t="s">
        <v>122</v>
      </c>
      <c r="X59" s="151" t="s">
        <v>123</v>
      </c>
      <c r="Y59" s="154">
        <v>1</v>
      </c>
      <c r="Z59" s="155" t="s">
        <v>764</v>
      </c>
      <c r="AA59" s="155" t="s">
        <v>764</v>
      </c>
      <c r="AB59" s="150" t="s">
        <v>114</v>
      </c>
      <c r="AC59" s="150" t="s">
        <v>124</v>
      </c>
      <c r="AD59" s="156">
        <v>45107</v>
      </c>
      <c r="AE59" s="157" t="s">
        <v>125</v>
      </c>
      <c r="AF59" s="150"/>
      <c r="AG59" s="158">
        <v>0</v>
      </c>
      <c r="AH59" s="150">
        <v>0</v>
      </c>
      <c r="AI59" s="151" t="s">
        <v>126</v>
      </c>
      <c r="AJ59" s="151"/>
      <c r="AK59" s="154">
        <v>0</v>
      </c>
      <c r="AL59" s="154"/>
      <c r="AM59" s="151"/>
      <c r="AN59" s="159"/>
      <c r="AO59" s="159">
        <v>-1</v>
      </c>
      <c r="AP59" s="159"/>
      <c r="AQ59" s="160"/>
      <c r="AR59" s="151" t="s">
        <v>127</v>
      </c>
      <c r="AS59" s="154"/>
      <c r="AT59" s="161"/>
      <c r="AU59" s="161">
        <v>0</v>
      </c>
      <c r="AV59" s="161">
        <v>0</v>
      </c>
      <c r="AW59" s="161"/>
      <c r="AX59" s="161">
        <v>0</v>
      </c>
      <c r="AY59" s="161"/>
      <c r="AZ59" s="161"/>
      <c r="BA59" s="161"/>
      <c r="BB59" s="161">
        <v>0</v>
      </c>
      <c r="BC59" s="161"/>
      <c r="BD59" s="161" t="s">
        <v>114</v>
      </c>
      <c r="BE59" s="154"/>
      <c r="BF59" s="161"/>
      <c r="BG59" s="161" t="e">
        <v>#DIV/0!</v>
      </c>
      <c r="BH59" s="161"/>
      <c r="BI59" s="161" t="s">
        <v>116</v>
      </c>
      <c r="BJ59" s="161"/>
      <c r="BK59" s="161" t="e">
        <v>#DIV/0!</v>
      </c>
      <c r="BL59" s="161"/>
      <c r="BM59" s="161"/>
      <c r="BN59" s="161"/>
      <c r="BO59" s="161"/>
      <c r="BP59" s="161"/>
      <c r="BQ59" s="161" t="e">
        <v>#DIV/0!</v>
      </c>
      <c r="BR59" s="151"/>
      <c r="BS59" s="144"/>
      <c r="BT59" s="144"/>
      <c r="BU59" s="151"/>
      <c r="BV59" s="151"/>
      <c r="BW59" s="151"/>
      <c r="BX59" s="175"/>
    </row>
    <row r="60" spans="1:76">
      <c r="A60" s="162" t="s">
        <v>709</v>
      </c>
      <c r="B60" s="163"/>
      <c r="C60" s="163" t="s">
        <v>54</v>
      </c>
      <c r="D60" s="164" t="s">
        <v>1</v>
      </c>
      <c r="E60" s="163" t="s">
        <v>115</v>
      </c>
      <c r="F60" s="165" t="s">
        <v>99</v>
      </c>
      <c r="G60" s="163" t="s">
        <v>100</v>
      </c>
      <c r="H60" s="166" t="s">
        <v>103</v>
      </c>
      <c r="I60" s="163" t="s">
        <v>100</v>
      </c>
      <c r="J60" s="165" t="s">
        <v>101</v>
      </c>
      <c r="K60" s="164" t="s">
        <v>559</v>
      </c>
      <c r="L60" s="164" t="s">
        <v>559</v>
      </c>
      <c r="M60" s="163" t="s">
        <v>100</v>
      </c>
      <c r="N60" s="164" t="s">
        <v>746</v>
      </c>
      <c r="O60" s="163" t="s">
        <v>100</v>
      </c>
      <c r="P60" s="164"/>
      <c r="Q60" s="164" t="s">
        <v>746</v>
      </c>
      <c r="R60" s="164" t="s">
        <v>119</v>
      </c>
      <c r="S60" s="164" t="s">
        <v>130</v>
      </c>
      <c r="T60" s="164" t="s">
        <v>120</v>
      </c>
      <c r="U60" s="164" t="s">
        <v>101</v>
      </c>
      <c r="V60" s="164" t="s">
        <v>121</v>
      </c>
      <c r="W60" s="164" t="s">
        <v>122</v>
      </c>
      <c r="X60" s="164" t="s">
        <v>123</v>
      </c>
      <c r="Y60" s="167">
        <v>1</v>
      </c>
      <c r="Z60" s="168" t="s">
        <v>764</v>
      </c>
      <c r="AA60" s="168" t="s">
        <v>764</v>
      </c>
      <c r="AB60" s="163" t="s">
        <v>114</v>
      </c>
      <c r="AC60" s="163" t="s">
        <v>124</v>
      </c>
      <c r="AD60" s="169">
        <v>45107</v>
      </c>
      <c r="AE60" s="170" t="s">
        <v>125</v>
      </c>
      <c r="AF60" s="163"/>
      <c r="AG60" s="171">
        <v>0</v>
      </c>
      <c r="AH60" s="163">
        <v>0</v>
      </c>
      <c r="AI60" s="164" t="s">
        <v>126</v>
      </c>
      <c r="AJ60" s="164"/>
      <c r="AK60" s="167">
        <v>0</v>
      </c>
      <c r="AL60" s="167"/>
      <c r="AM60" s="164"/>
      <c r="AN60" s="172"/>
      <c r="AO60" s="172">
        <v>-1</v>
      </c>
      <c r="AP60" s="172"/>
      <c r="AQ60" s="173"/>
      <c r="AR60" s="164" t="s">
        <v>127</v>
      </c>
      <c r="AS60" s="167"/>
      <c r="AT60" s="174"/>
      <c r="AU60" s="174">
        <v>0</v>
      </c>
      <c r="AV60" s="174">
        <v>0</v>
      </c>
      <c r="AW60" s="174"/>
      <c r="AX60" s="174">
        <v>0</v>
      </c>
      <c r="AY60" s="174"/>
      <c r="AZ60" s="174"/>
      <c r="BA60" s="174"/>
      <c r="BB60" s="174">
        <v>0</v>
      </c>
      <c r="BC60" s="174"/>
      <c r="BD60" s="174" t="s">
        <v>114</v>
      </c>
      <c r="BE60" s="167"/>
      <c r="BF60" s="174"/>
      <c r="BG60" s="174" t="e">
        <v>#DIV/0!</v>
      </c>
      <c r="BH60" s="174"/>
      <c r="BI60" s="174" t="s">
        <v>116</v>
      </c>
      <c r="BJ60" s="174"/>
      <c r="BK60" s="174" t="e">
        <v>#DIV/0!</v>
      </c>
      <c r="BL60" s="174"/>
      <c r="BM60" s="174"/>
      <c r="BN60" s="174"/>
      <c r="BO60" s="174"/>
      <c r="BP60" s="174"/>
      <c r="BQ60" s="174" t="e">
        <v>#DIV/0!</v>
      </c>
      <c r="BR60" s="164"/>
      <c r="BS60" s="145"/>
      <c r="BT60" s="145"/>
      <c r="BU60" s="164"/>
      <c r="BV60" s="164"/>
      <c r="BW60" s="164"/>
      <c r="BX60" s="176"/>
    </row>
    <row r="61" spans="1:76">
      <c r="A61" s="149" t="s">
        <v>710</v>
      </c>
      <c r="B61" s="150"/>
      <c r="C61" s="150" t="s">
        <v>54</v>
      </c>
      <c r="D61" s="151" t="s">
        <v>1</v>
      </c>
      <c r="E61" s="150" t="s">
        <v>115</v>
      </c>
      <c r="F61" s="152" t="s">
        <v>99</v>
      </c>
      <c r="G61" s="150" t="s">
        <v>100</v>
      </c>
      <c r="H61" s="153" t="s">
        <v>103</v>
      </c>
      <c r="I61" s="150" t="s">
        <v>100</v>
      </c>
      <c r="J61" s="152" t="s">
        <v>101</v>
      </c>
      <c r="K61" s="151" t="s">
        <v>559</v>
      </c>
      <c r="L61" s="151" t="s">
        <v>559</v>
      </c>
      <c r="M61" s="150" t="s">
        <v>100</v>
      </c>
      <c r="N61" s="151" t="s">
        <v>746</v>
      </c>
      <c r="O61" s="150" t="s">
        <v>100</v>
      </c>
      <c r="P61" s="151"/>
      <c r="Q61" s="151" t="s">
        <v>746</v>
      </c>
      <c r="R61" s="151" t="s">
        <v>119</v>
      </c>
      <c r="S61" s="151" t="s">
        <v>130</v>
      </c>
      <c r="T61" s="151" t="s">
        <v>120</v>
      </c>
      <c r="U61" s="151" t="s">
        <v>101</v>
      </c>
      <c r="V61" s="151" t="s">
        <v>121</v>
      </c>
      <c r="W61" s="151" t="s">
        <v>122</v>
      </c>
      <c r="X61" s="151" t="s">
        <v>123</v>
      </c>
      <c r="Y61" s="154">
        <v>1</v>
      </c>
      <c r="Z61" s="155" t="s">
        <v>764</v>
      </c>
      <c r="AA61" s="155" t="s">
        <v>764</v>
      </c>
      <c r="AB61" s="150" t="s">
        <v>114</v>
      </c>
      <c r="AC61" s="150" t="s">
        <v>124</v>
      </c>
      <c r="AD61" s="156">
        <v>45107</v>
      </c>
      <c r="AE61" s="157" t="s">
        <v>125</v>
      </c>
      <c r="AF61" s="150"/>
      <c r="AG61" s="158">
        <v>0</v>
      </c>
      <c r="AH61" s="150">
        <v>0</v>
      </c>
      <c r="AI61" s="151" t="s">
        <v>126</v>
      </c>
      <c r="AJ61" s="151"/>
      <c r="AK61" s="154">
        <v>0</v>
      </c>
      <c r="AL61" s="154"/>
      <c r="AM61" s="151"/>
      <c r="AN61" s="159"/>
      <c r="AO61" s="159">
        <v>-1</v>
      </c>
      <c r="AP61" s="159"/>
      <c r="AQ61" s="160"/>
      <c r="AR61" s="151" t="s">
        <v>127</v>
      </c>
      <c r="AS61" s="154"/>
      <c r="AT61" s="161"/>
      <c r="AU61" s="161">
        <v>0</v>
      </c>
      <c r="AV61" s="161">
        <v>0</v>
      </c>
      <c r="AW61" s="161"/>
      <c r="AX61" s="161">
        <v>0</v>
      </c>
      <c r="AY61" s="161"/>
      <c r="AZ61" s="161"/>
      <c r="BA61" s="161"/>
      <c r="BB61" s="161">
        <v>0</v>
      </c>
      <c r="BC61" s="161"/>
      <c r="BD61" s="161" t="s">
        <v>114</v>
      </c>
      <c r="BE61" s="154"/>
      <c r="BF61" s="161"/>
      <c r="BG61" s="161" t="e">
        <v>#DIV/0!</v>
      </c>
      <c r="BH61" s="161"/>
      <c r="BI61" s="161" t="s">
        <v>116</v>
      </c>
      <c r="BJ61" s="161"/>
      <c r="BK61" s="161" t="e">
        <v>#DIV/0!</v>
      </c>
      <c r="BL61" s="161"/>
      <c r="BM61" s="161"/>
      <c r="BN61" s="161"/>
      <c r="BO61" s="161"/>
      <c r="BP61" s="161"/>
      <c r="BQ61" s="161" t="e">
        <v>#DIV/0!</v>
      </c>
      <c r="BR61" s="151"/>
      <c r="BS61" s="144"/>
      <c r="BT61" s="144"/>
      <c r="BU61" s="151"/>
      <c r="BV61" s="151"/>
      <c r="BW61" s="151"/>
      <c r="BX61" s="175"/>
    </row>
    <row r="62" spans="1:76">
      <c r="A62" s="162" t="s">
        <v>711</v>
      </c>
      <c r="B62" s="163"/>
      <c r="C62" s="163" t="s">
        <v>54</v>
      </c>
      <c r="D62" s="164" t="s">
        <v>1</v>
      </c>
      <c r="E62" s="163" t="s">
        <v>115</v>
      </c>
      <c r="F62" s="165" t="s">
        <v>99</v>
      </c>
      <c r="G62" s="163" t="s">
        <v>100</v>
      </c>
      <c r="H62" s="166" t="s">
        <v>103</v>
      </c>
      <c r="I62" s="163" t="s">
        <v>100</v>
      </c>
      <c r="J62" s="165" t="s">
        <v>101</v>
      </c>
      <c r="K62" s="164" t="s">
        <v>559</v>
      </c>
      <c r="L62" s="164" t="s">
        <v>559</v>
      </c>
      <c r="M62" s="163" t="s">
        <v>100</v>
      </c>
      <c r="N62" s="164" t="s">
        <v>747</v>
      </c>
      <c r="O62" s="163" t="s">
        <v>100</v>
      </c>
      <c r="P62" s="164"/>
      <c r="Q62" s="164" t="s">
        <v>747</v>
      </c>
      <c r="R62" s="164" t="s">
        <v>119</v>
      </c>
      <c r="S62" s="164" t="s">
        <v>130</v>
      </c>
      <c r="T62" s="164" t="s">
        <v>120</v>
      </c>
      <c r="U62" s="164" t="s">
        <v>101</v>
      </c>
      <c r="V62" s="164" t="s">
        <v>121</v>
      </c>
      <c r="W62" s="164" t="s">
        <v>122</v>
      </c>
      <c r="X62" s="164" t="s">
        <v>123</v>
      </c>
      <c r="Y62" s="167">
        <v>1</v>
      </c>
      <c r="Z62" s="168" t="s">
        <v>764</v>
      </c>
      <c r="AA62" s="168" t="s">
        <v>764</v>
      </c>
      <c r="AB62" s="163" t="s">
        <v>114</v>
      </c>
      <c r="AC62" s="163" t="s">
        <v>124</v>
      </c>
      <c r="AD62" s="169">
        <v>45107</v>
      </c>
      <c r="AE62" s="170" t="s">
        <v>125</v>
      </c>
      <c r="AF62" s="163"/>
      <c r="AG62" s="171">
        <v>0</v>
      </c>
      <c r="AH62" s="163">
        <v>0</v>
      </c>
      <c r="AI62" s="164" t="s">
        <v>126</v>
      </c>
      <c r="AJ62" s="164"/>
      <c r="AK62" s="167">
        <v>0</v>
      </c>
      <c r="AL62" s="167"/>
      <c r="AM62" s="164"/>
      <c r="AN62" s="172"/>
      <c r="AO62" s="172">
        <v>-1</v>
      </c>
      <c r="AP62" s="172"/>
      <c r="AQ62" s="173"/>
      <c r="AR62" s="164" t="s">
        <v>127</v>
      </c>
      <c r="AS62" s="167"/>
      <c r="AT62" s="174"/>
      <c r="AU62" s="174">
        <v>0</v>
      </c>
      <c r="AV62" s="174">
        <v>0</v>
      </c>
      <c r="AW62" s="174"/>
      <c r="AX62" s="174">
        <v>0</v>
      </c>
      <c r="AY62" s="174"/>
      <c r="AZ62" s="174"/>
      <c r="BA62" s="174"/>
      <c r="BB62" s="174">
        <v>0</v>
      </c>
      <c r="BC62" s="174"/>
      <c r="BD62" s="174" t="s">
        <v>114</v>
      </c>
      <c r="BE62" s="167"/>
      <c r="BF62" s="174"/>
      <c r="BG62" s="174" t="e">
        <v>#DIV/0!</v>
      </c>
      <c r="BH62" s="174"/>
      <c r="BI62" s="174" t="s">
        <v>116</v>
      </c>
      <c r="BJ62" s="174"/>
      <c r="BK62" s="174" t="e">
        <v>#DIV/0!</v>
      </c>
      <c r="BL62" s="174"/>
      <c r="BM62" s="174"/>
      <c r="BN62" s="174"/>
      <c r="BO62" s="174"/>
      <c r="BP62" s="174"/>
      <c r="BQ62" s="174" t="e">
        <v>#DIV/0!</v>
      </c>
      <c r="BR62" s="164"/>
      <c r="BS62" s="145"/>
      <c r="BT62" s="145"/>
      <c r="BU62" s="164"/>
      <c r="BV62" s="164"/>
      <c r="BW62" s="164"/>
      <c r="BX62" s="176"/>
    </row>
    <row r="63" spans="1:76">
      <c r="A63" s="149" t="s">
        <v>712</v>
      </c>
      <c r="B63" s="150"/>
      <c r="C63" s="150" t="s">
        <v>54</v>
      </c>
      <c r="D63" s="151" t="s">
        <v>1</v>
      </c>
      <c r="E63" s="150" t="s">
        <v>115</v>
      </c>
      <c r="F63" s="152" t="s">
        <v>99</v>
      </c>
      <c r="G63" s="150" t="s">
        <v>100</v>
      </c>
      <c r="H63" s="153" t="s">
        <v>103</v>
      </c>
      <c r="I63" s="150" t="s">
        <v>100</v>
      </c>
      <c r="J63" s="152" t="s">
        <v>101</v>
      </c>
      <c r="K63" s="151" t="s">
        <v>559</v>
      </c>
      <c r="L63" s="151" t="s">
        <v>559</v>
      </c>
      <c r="M63" s="150" t="s">
        <v>100</v>
      </c>
      <c r="N63" s="151" t="s">
        <v>746</v>
      </c>
      <c r="O63" s="150" t="s">
        <v>100</v>
      </c>
      <c r="P63" s="151"/>
      <c r="Q63" s="151" t="s">
        <v>746</v>
      </c>
      <c r="R63" s="151" t="s">
        <v>119</v>
      </c>
      <c r="S63" s="151" t="s">
        <v>130</v>
      </c>
      <c r="T63" s="151" t="s">
        <v>120</v>
      </c>
      <c r="U63" s="151" t="s">
        <v>101</v>
      </c>
      <c r="V63" s="151" t="s">
        <v>121</v>
      </c>
      <c r="W63" s="151" t="s">
        <v>122</v>
      </c>
      <c r="X63" s="151" t="s">
        <v>123</v>
      </c>
      <c r="Y63" s="154">
        <v>1</v>
      </c>
      <c r="Z63" s="155" t="s">
        <v>764</v>
      </c>
      <c r="AA63" s="155" t="s">
        <v>764</v>
      </c>
      <c r="AB63" s="150" t="s">
        <v>114</v>
      </c>
      <c r="AC63" s="150" t="s">
        <v>124</v>
      </c>
      <c r="AD63" s="156">
        <v>45107</v>
      </c>
      <c r="AE63" s="157" t="s">
        <v>125</v>
      </c>
      <c r="AF63" s="150"/>
      <c r="AG63" s="158">
        <v>0</v>
      </c>
      <c r="AH63" s="150">
        <v>0</v>
      </c>
      <c r="AI63" s="151" t="s">
        <v>126</v>
      </c>
      <c r="AJ63" s="151"/>
      <c r="AK63" s="154">
        <v>0</v>
      </c>
      <c r="AL63" s="154"/>
      <c r="AM63" s="151"/>
      <c r="AN63" s="159"/>
      <c r="AO63" s="159">
        <v>-1</v>
      </c>
      <c r="AP63" s="159"/>
      <c r="AQ63" s="160"/>
      <c r="AR63" s="151" t="s">
        <v>127</v>
      </c>
      <c r="AS63" s="154"/>
      <c r="AT63" s="161"/>
      <c r="AU63" s="161">
        <v>0</v>
      </c>
      <c r="AV63" s="161">
        <v>0</v>
      </c>
      <c r="AW63" s="161"/>
      <c r="AX63" s="161">
        <v>0</v>
      </c>
      <c r="AY63" s="161"/>
      <c r="AZ63" s="161"/>
      <c r="BA63" s="161"/>
      <c r="BB63" s="161">
        <v>0</v>
      </c>
      <c r="BC63" s="161"/>
      <c r="BD63" s="161" t="s">
        <v>114</v>
      </c>
      <c r="BE63" s="154"/>
      <c r="BF63" s="161"/>
      <c r="BG63" s="161" t="e">
        <v>#DIV/0!</v>
      </c>
      <c r="BH63" s="161"/>
      <c r="BI63" s="161" t="s">
        <v>116</v>
      </c>
      <c r="BJ63" s="161"/>
      <c r="BK63" s="161" t="e">
        <v>#DIV/0!</v>
      </c>
      <c r="BL63" s="161"/>
      <c r="BM63" s="161"/>
      <c r="BN63" s="161"/>
      <c r="BO63" s="161"/>
      <c r="BP63" s="161"/>
      <c r="BQ63" s="161" t="e">
        <v>#DIV/0!</v>
      </c>
      <c r="BR63" s="151"/>
      <c r="BS63" s="144"/>
      <c r="BT63" s="144"/>
      <c r="BU63" s="151"/>
      <c r="BV63" s="151"/>
      <c r="BW63" s="151"/>
      <c r="BX63" s="175"/>
    </row>
    <row r="64" spans="1:76">
      <c r="A64" s="162">
        <v>1569</v>
      </c>
      <c r="B64" s="163"/>
      <c r="C64" s="163" t="s">
        <v>54</v>
      </c>
      <c r="D64" s="164" t="s">
        <v>1</v>
      </c>
      <c r="E64" s="163" t="s">
        <v>115</v>
      </c>
      <c r="F64" s="165" t="s">
        <v>99</v>
      </c>
      <c r="G64" s="163" t="s">
        <v>100</v>
      </c>
      <c r="H64" s="166" t="s">
        <v>103</v>
      </c>
      <c r="I64" s="163" t="s">
        <v>100</v>
      </c>
      <c r="J64" s="165" t="s">
        <v>101</v>
      </c>
      <c r="K64" s="164" t="s">
        <v>559</v>
      </c>
      <c r="L64" s="164" t="s">
        <v>559</v>
      </c>
      <c r="M64" s="163" t="s">
        <v>100</v>
      </c>
      <c r="N64" s="164" t="s">
        <v>748</v>
      </c>
      <c r="O64" s="163" t="s">
        <v>100</v>
      </c>
      <c r="P64" s="164"/>
      <c r="Q64" s="164" t="s">
        <v>748</v>
      </c>
      <c r="R64" s="164" t="s">
        <v>119</v>
      </c>
      <c r="S64" s="164" t="s">
        <v>130</v>
      </c>
      <c r="T64" s="164" t="s">
        <v>120</v>
      </c>
      <c r="U64" s="164" t="s">
        <v>101</v>
      </c>
      <c r="V64" s="164" t="s">
        <v>121</v>
      </c>
      <c r="W64" s="164" t="s">
        <v>122</v>
      </c>
      <c r="X64" s="164" t="s">
        <v>123</v>
      </c>
      <c r="Y64" s="167">
        <v>1</v>
      </c>
      <c r="Z64" s="168" t="s">
        <v>765</v>
      </c>
      <c r="AA64" s="168" t="s">
        <v>765</v>
      </c>
      <c r="AB64" s="163" t="s">
        <v>114</v>
      </c>
      <c r="AC64" s="163" t="s">
        <v>124</v>
      </c>
      <c r="AD64" s="169">
        <v>45107</v>
      </c>
      <c r="AE64" s="170" t="s">
        <v>125</v>
      </c>
      <c r="AF64" s="163"/>
      <c r="AG64" s="171">
        <v>0</v>
      </c>
      <c r="AH64" s="163">
        <v>0</v>
      </c>
      <c r="AI64" s="164" t="s">
        <v>126</v>
      </c>
      <c r="AJ64" s="164"/>
      <c r="AK64" s="167">
        <v>0</v>
      </c>
      <c r="AL64" s="167"/>
      <c r="AM64" s="164"/>
      <c r="AN64" s="172"/>
      <c r="AO64" s="172">
        <v>-1</v>
      </c>
      <c r="AP64" s="172"/>
      <c r="AQ64" s="173"/>
      <c r="AR64" s="164" t="s">
        <v>127</v>
      </c>
      <c r="AS64" s="167"/>
      <c r="AT64" s="174"/>
      <c r="AU64" s="174">
        <v>0</v>
      </c>
      <c r="AV64" s="174">
        <v>0</v>
      </c>
      <c r="AW64" s="174"/>
      <c r="AX64" s="174">
        <v>0</v>
      </c>
      <c r="AY64" s="174"/>
      <c r="AZ64" s="174"/>
      <c r="BA64" s="174"/>
      <c r="BB64" s="174">
        <v>0</v>
      </c>
      <c r="BC64" s="174"/>
      <c r="BD64" s="174" t="s">
        <v>114</v>
      </c>
      <c r="BE64" s="167"/>
      <c r="BF64" s="174"/>
      <c r="BG64" s="174" t="e">
        <v>#DIV/0!</v>
      </c>
      <c r="BH64" s="174"/>
      <c r="BI64" s="174" t="s">
        <v>116</v>
      </c>
      <c r="BJ64" s="174"/>
      <c r="BK64" s="174" t="e">
        <v>#DIV/0!</v>
      </c>
      <c r="BL64" s="174"/>
      <c r="BM64" s="174"/>
      <c r="BN64" s="174"/>
      <c r="BO64" s="174"/>
      <c r="BP64" s="174"/>
      <c r="BQ64" s="174" t="e">
        <v>#DIV/0!</v>
      </c>
      <c r="BR64" s="164"/>
      <c r="BS64" s="145"/>
      <c r="BT64" s="145"/>
      <c r="BU64" s="164"/>
      <c r="BV64" s="164"/>
      <c r="BW64" s="164"/>
      <c r="BX64" s="176"/>
    </row>
    <row r="65" spans="1:76">
      <c r="A65" s="149" t="s">
        <v>768</v>
      </c>
      <c r="B65" s="150"/>
      <c r="C65" s="150" t="s">
        <v>54</v>
      </c>
      <c r="D65" s="151" t="s">
        <v>1</v>
      </c>
      <c r="E65" s="150" t="s">
        <v>115</v>
      </c>
      <c r="F65" s="152" t="s">
        <v>99</v>
      </c>
      <c r="G65" s="150" t="s">
        <v>100</v>
      </c>
      <c r="H65" s="153" t="s">
        <v>771</v>
      </c>
      <c r="I65" s="150" t="s">
        <v>100</v>
      </c>
      <c r="J65" s="152" t="s">
        <v>101</v>
      </c>
      <c r="K65" s="151" t="s">
        <v>559</v>
      </c>
      <c r="L65" s="151" t="s">
        <v>559</v>
      </c>
      <c r="M65" s="150" t="s">
        <v>100</v>
      </c>
      <c r="N65" s="151" t="s">
        <v>774</v>
      </c>
      <c r="O65" s="150" t="s">
        <v>100</v>
      </c>
      <c r="P65" s="151"/>
      <c r="Q65" s="151" t="s">
        <v>774</v>
      </c>
      <c r="R65" s="151" t="s">
        <v>119</v>
      </c>
      <c r="S65" s="151" t="s">
        <v>130</v>
      </c>
      <c r="T65" s="151" t="s">
        <v>120</v>
      </c>
      <c r="U65" s="151" t="s">
        <v>101</v>
      </c>
      <c r="V65" s="151" t="s">
        <v>121</v>
      </c>
      <c r="W65" s="151" t="s">
        <v>122</v>
      </c>
      <c r="X65" s="151" t="s">
        <v>123</v>
      </c>
      <c r="Y65" s="154">
        <v>1</v>
      </c>
      <c r="Z65" s="155" t="s">
        <v>779</v>
      </c>
      <c r="AA65" s="155" t="s">
        <v>779</v>
      </c>
      <c r="AB65" s="150" t="s">
        <v>114</v>
      </c>
      <c r="AC65" s="150" t="s">
        <v>124</v>
      </c>
      <c r="AD65" s="156">
        <v>44742</v>
      </c>
      <c r="AE65" s="157" t="s">
        <v>125</v>
      </c>
      <c r="AF65" s="150"/>
      <c r="AG65" s="158">
        <v>0</v>
      </c>
      <c r="AH65" s="150">
        <v>0</v>
      </c>
      <c r="AI65" s="151" t="s">
        <v>126</v>
      </c>
      <c r="AJ65" s="151"/>
      <c r="AK65" s="154">
        <v>0</v>
      </c>
      <c r="AL65" s="154"/>
      <c r="AM65" s="151"/>
      <c r="AN65" s="159">
        <v>0</v>
      </c>
      <c r="AO65" s="159">
        <v>-1</v>
      </c>
      <c r="AP65" s="159"/>
      <c r="AQ65" s="160"/>
      <c r="AR65" s="151" t="s">
        <v>127</v>
      </c>
      <c r="AS65" s="154">
        <v>0</v>
      </c>
      <c r="AT65" s="161"/>
      <c r="AU65" s="161">
        <v>0</v>
      </c>
      <c r="AV65" s="161">
        <v>0</v>
      </c>
      <c r="AW65" s="154">
        <v>0</v>
      </c>
      <c r="AX65" s="161">
        <v>0</v>
      </c>
      <c r="AY65" s="161"/>
      <c r="AZ65" s="161"/>
      <c r="BA65" s="161">
        <v>0</v>
      </c>
      <c r="BB65" s="161">
        <v>0</v>
      </c>
      <c r="BC65" s="161"/>
      <c r="BD65" s="161" t="s">
        <v>114</v>
      </c>
      <c r="BE65" s="154"/>
      <c r="BF65" s="161"/>
      <c r="BG65" s="161" t="e">
        <v>#DIV/0!</v>
      </c>
      <c r="BH65" s="161"/>
      <c r="BI65" s="161" t="s">
        <v>116</v>
      </c>
      <c r="BJ65" s="161"/>
      <c r="BK65" s="161" t="e">
        <v>#DIV/0!</v>
      </c>
      <c r="BL65" s="161"/>
      <c r="BM65" s="161"/>
      <c r="BN65" s="161"/>
      <c r="BO65" s="161"/>
      <c r="BP65" s="161"/>
      <c r="BQ65" s="161" t="e">
        <v>#DIV/0!</v>
      </c>
      <c r="BR65" s="151"/>
      <c r="BS65" s="144"/>
      <c r="BT65" s="144"/>
      <c r="BU65" s="151"/>
      <c r="BV65" s="151"/>
      <c r="BW65" s="151"/>
      <c r="BX65" s="175"/>
    </row>
  </sheetData>
  <conditionalFormatting sqref="A3:A65">
    <cfRule type="duplicateValues" dxfId="73" priority="1"/>
  </conditionalFormatting>
  <conditionalFormatting sqref="M2:X2">
    <cfRule type="containsErrors" dxfId="72" priority="2">
      <formula>ISERROR(M2)</formula>
    </cfRule>
  </conditionalFormatting>
  <dataValidations count="4">
    <dataValidation type="list" allowBlank="1" showInputMessage="1" showErrorMessage="1" sqref="P2" xr:uid="{A894772D-7443-468D-BE34-E351708FC421}">
      <formula1>OFFSET(#REF!,MATCH(N2,#REF!,0)-1,1,COUNTIF(#REF!,N2),1)</formula1>
    </dataValidation>
    <dataValidation type="list" allowBlank="1" showInputMessage="1" showErrorMessage="1" sqref="D3:D65" xr:uid="{9C21D551-CE47-4519-9097-0526527EDA5D}">
      <formula1>OFFSET(#REF!,3,0,COUNTA(#REF!)-1,1)</formula1>
    </dataValidation>
    <dataValidation type="list" allowBlank="1" showInputMessage="1" showErrorMessage="1" sqref="AR3:AR65" xr:uid="{34F9EAF4-873D-4413-AB90-2B018C38D5C0}">
      <formula1>General_List_F</formula1>
    </dataValidation>
    <dataValidation type="list" allowBlank="1" showInputMessage="1" showErrorMessage="1" sqref="R3:T65 AB3:AC65" xr:uid="{12DE1458-64D2-4205-BA9C-E8B7D479C8E4}">
      <formula1>#REF!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S56"/>
  <sheetViews>
    <sheetView workbookViewId="0">
      <selection activeCell="AJ64" sqref="AJ64"/>
    </sheetView>
  </sheetViews>
  <sheetFormatPr defaultColWidth="8.81640625" defaultRowHeight="14.5"/>
  <cols>
    <col min="27" max="27" width="18" customWidth="1"/>
    <col min="30" max="30" width="13.6328125" customWidth="1"/>
  </cols>
  <sheetData>
    <row r="1" spans="1:71" s="127" customFormat="1">
      <c r="A1" s="113">
        <v>5274</v>
      </c>
      <c r="B1" s="114"/>
      <c r="C1" s="115" t="s">
        <v>54</v>
      </c>
      <c r="D1" s="116" t="s">
        <v>1</v>
      </c>
      <c r="E1" s="115" t="s">
        <v>115</v>
      </c>
      <c r="F1" s="117" t="s">
        <v>99</v>
      </c>
      <c r="G1" s="115" t="s">
        <v>100</v>
      </c>
      <c r="H1" s="113" t="s">
        <v>107</v>
      </c>
      <c r="I1" s="115" t="s">
        <v>100</v>
      </c>
      <c r="J1" s="117" t="s">
        <v>101</v>
      </c>
      <c r="K1" s="113"/>
      <c r="L1" s="113" t="s">
        <v>108</v>
      </c>
      <c r="M1" s="113" t="s">
        <v>108</v>
      </c>
      <c r="N1" s="115" t="s">
        <v>100</v>
      </c>
      <c r="O1" s="113" t="s">
        <v>107</v>
      </c>
      <c r="P1" s="115" t="s">
        <v>100</v>
      </c>
      <c r="Q1" s="113" t="s">
        <v>107</v>
      </c>
      <c r="R1" s="113" t="s">
        <v>109</v>
      </c>
      <c r="S1" s="116" t="s">
        <v>119</v>
      </c>
      <c r="T1" s="116" t="s">
        <v>130</v>
      </c>
      <c r="U1" s="116" t="s">
        <v>120</v>
      </c>
      <c r="V1" s="116" t="s">
        <v>101</v>
      </c>
      <c r="W1" s="116" t="s">
        <v>121</v>
      </c>
      <c r="X1" s="116" t="s">
        <v>122</v>
      </c>
      <c r="Y1" s="116" t="s">
        <v>123</v>
      </c>
      <c r="Z1" s="118">
        <v>1</v>
      </c>
      <c r="AA1" s="119">
        <v>43889</v>
      </c>
      <c r="AB1" s="115" t="s">
        <v>114</v>
      </c>
      <c r="AC1" s="115" t="s">
        <v>124</v>
      </c>
      <c r="AD1" s="120">
        <v>44012</v>
      </c>
      <c r="AE1" s="121" t="s">
        <v>125</v>
      </c>
      <c r="AF1" s="114">
        <v>5</v>
      </c>
      <c r="AG1" s="116" t="s">
        <v>126</v>
      </c>
      <c r="AH1" s="114"/>
      <c r="AI1" s="122" t="e">
        <f>FAR[[#This Row],[EUL]]</f>
        <v>#VALUE!</v>
      </c>
      <c r="AJ1" s="122" t="e">
        <f>FAR[[#This Row],[Opening RUL 30 June 2026]]-1</f>
        <v>#VALUE!</v>
      </c>
      <c r="AK1" s="116" t="s">
        <v>127</v>
      </c>
      <c r="AL1" s="123">
        <v>0</v>
      </c>
      <c r="AM1" s="123">
        <v>8569</v>
      </c>
      <c r="AN1" s="124">
        <v>0</v>
      </c>
      <c r="AO1" s="124">
        <v>0</v>
      </c>
      <c r="AP1" s="124">
        <v>0</v>
      </c>
      <c r="AQ1" s="123">
        <v>8569</v>
      </c>
      <c r="AR1" s="123">
        <v>0</v>
      </c>
      <c r="AS1" s="123"/>
      <c r="AT1" s="123"/>
      <c r="AU1" s="123"/>
      <c r="AV1" s="124">
        <v>0</v>
      </c>
      <c r="AW1" s="123"/>
      <c r="AX1" s="124" t="s">
        <v>114</v>
      </c>
      <c r="AY1" s="118"/>
      <c r="AZ1" s="123"/>
      <c r="BA1" s="124">
        <v>-577.52712328767132</v>
      </c>
      <c r="BB1" s="123"/>
      <c r="BC1" s="124" t="s">
        <v>116</v>
      </c>
      <c r="BD1" s="123"/>
      <c r="BE1" s="124" t="e">
        <f>FAR[[#This Row],[Accumulated depreciation (Opening balance)]]+FAR[[#This Row],[Depreciation YTD]]</f>
        <v>#VALUE!</v>
      </c>
      <c r="BF1" s="123"/>
      <c r="BG1" s="123"/>
      <c r="BH1" s="123"/>
      <c r="BI1" s="123"/>
      <c r="BJ1" s="123"/>
      <c r="BK1" s="125" t="e">
        <f>FAR[[#This Row],[Cost Price (closing balance)]]+FAR[[#This Row],[Accumulated depreciation (Closing balance)]]</f>
        <v>#VALUE!</v>
      </c>
      <c r="BL1" s="123" t="e">
        <f>FAR[[#This Row],[Accumulated depreciation (Opening balance)]]</f>
        <v>#VALUE!</v>
      </c>
      <c r="BM1" s="123" t="e">
        <f>FAR[[#This Row],[Depreciation YTD]]</f>
        <v>#VALUE!</v>
      </c>
      <c r="BN1" s="123" t="e">
        <f>FAR[[#This Row],[Accumulated depreciation (Closing balance)]]</f>
        <v>#VALUE!</v>
      </c>
      <c r="BO1" s="113"/>
      <c r="BP1" s="113"/>
      <c r="BQ1" s="113"/>
      <c r="BR1" s="113"/>
      <c r="BS1" s="126" t="e">
        <v>#N/A</v>
      </c>
    </row>
    <row r="2" spans="1:71" s="127" customFormat="1">
      <c r="A2" s="113">
        <v>5275</v>
      </c>
      <c r="B2" s="114"/>
      <c r="C2" s="115" t="s">
        <v>54</v>
      </c>
      <c r="D2" s="116" t="s">
        <v>1</v>
      </c>
      <c r="E2" s="115" t="s">
        <v>115</v>
      </c>
      <c r="F2" s="117" t="s">
        <v>99</v>
      </c>
      <c r="G2" s="115" t="s">
        <v>100</v>
      </c>
      <c r="H2" s="113" t="s">
        <v>107</v>
      </c>
      <c r="I2" s="115" t="s">
        <v>100</v>
      </c>
      <c r="J2" s="117" t="s">
        <v>101</v>
      </c>
      <c r="K2" s="113"/>
      <c r="L2" s="113" t="s">
        <v>108</v>
      </c>
      <c r="M2" s="113" t="s">
        <v>108</v>
      </c>
      <c r="N2" s="115" t="s">
        <v>100</v>
      </c>
      <c r="O2" s="113" t="s">
        <v>107</v>
      </c>
      <c r="P2" s="115" t="s">
        <v>100</v>
      </c>
      <c r="Q2" s="113" t="s">
        <v>107</v>
      </c>
      <c r="R2" s="113" t="s">
        <v>109</v>
      </c>
      <c r="S2" s="116" t="s">
        <v>119</v>
      </c>
      <c r="T2" s="116" t="s">
        <v>130</v>
      </c>
      <c r="U2" s="116" t="s">
        <v>120</v>
      </c>
      <c r="V2" s="116" t="s">
        <v>101</v>
      </c>
      <c r="W2" s="116" t="s">
        <v>121</v>
      </c>
      <c r="X2" s="116" t="s">
        <v>122</v>
      </c>
      <c r="Y2" s="116" t="s">
        <v>123</v>
      </c>
      <c r="Z2" s="118">
        <v>1</v>
      </c>
      <c r="AA2" s="119">
        <v>43889</v>
      </c>
      <c r="AB2" s="115" t="s">
        <v>114</v>
      </c>
      <c r="AC2" s="115" t="s">
        <v>124</v>
      </c>
      <c r="AD2" s="120">
        <v>44012</v>
      </c>
      <c r="AE2" s="121" t="s">
        <v>125</v>
      </c>
      <c r="AF2" s="114">
        <v>5</v>
      </c>
      <c r="AG2" s="116" t="s">
        <v>126</v>
      </c>
      <c r="AH2" s="114"/>
      <c r="AI2" s="122" t="e">
        <f>FAR[[#This Row],[EUL]]</f>
        <v>#VALUE!</v>
      </c>
      <c r="AJ2" s="122" t="e">
        <f>FAR[[#This Row],[Opening RUL 30 June 2026]]-1</f>
        <v>#VALUE!</v>
      </c>
      <c r="AK2" s="116" t="s">
        <v>127</v>
      </c>
      <c r="AL2" s="123">
        <v>0</v>
      </c>
      <c r="AM2" s="123">
        <v>8569</v>
      </c>
      <c r="AN2" s="124">
        <v>0</v>
      </c>
      <c r="AO2" s="124">
        <v>0</v>
      </c>
      <c r="AP2" s="124">
        <v>0</v>
      </c>
      <c r="AQ2" s="123">
        <v>8569</v>
      </c>
      <c r="AR2" s="123">
        <v>0</v>
      </c>
      <c r="AS2" s="123"/>
      <c r="AT2" s="123"/>
      <c r="AU2" s="123"/>
      <c r="AV2" s="124">
        <v>0</v>
      </c>
      <c r="AW2" s="123"/>
      <c r="AX2" s="124" t="s">
        <v>114</v>
      </c>
      <c r="AY2" s="118"/>
      <c r="AZ2" s="123"/>
      <c r="BA2" s="124">
        <v>-577.52712328767132</v>
      </c>
      <c r="BB2" s="123"/>
      <c r="BC2" s="124" t="s">
        <v>116</v>
      </c>
      <c r="BD2" s="123"/>
      <c r="BE2" s="124" t="e">
        <f>FAR[[#This Row],[Accumulated depreciation (Opening balance)]]+FAR[[#This Row],[Depreciation YTD]]</f>
        <v>#VALUE!</v>
      </c>
      <c r="BF2" s="123"/>
      <c r="BG2" s="123"/>
      <c r="BH2" s="123"/>
      <c r="BI2" s="123"/>
      <c r="BJ2" s="123"/>
      <c r="BK2" s="125" t="e">
        <f>FAR[[#This Row],[Cost Price (closing balance)]]+FAR[[#This Row],[Accumulated depreciation (Closing balance)]]</f>
        <v>#VALUE!</v>
      </c>
      <c r="BL2" s="123" t="e">
        <f>FAR[[#This Row],[Accumulated depreciation (Opening balance)]]</f>
        <v>#VALUE!</v>
      </c>
      <c r="BM2" s="123" t="e">
        <f>FAR[[#This Row],[Depreciation YTD]]</f>
        <v>#VALUE!</v>
      </c>
      <c r="BN2" s="123" t="e">
        <f>FAR[[#This Row],[Accumulated depreciation (Closing balance)]]</f>
        <v>#VALUE!</v>
      </c>
      <c r="BO2" s="113"/>
      <c r="BP2" s="113"/>
      <c r="BQ2" s="113"/>
      <c r="BR2" s="113"/>
      <c r="BS2" s="126" t="e">
        <v>#N/A</v>
      </c>
    </row>
    <row r="3" spans="1:71" s="127" customFormat="1">
      <c r="A3" s="113">
        <v>5276</v>
      </c>
      <c r="B3" s="114"/>
      <c r="C3" s="115" t="s">
        <v>54</v>
      </c>
      <c r="D3" s="116" t="s">
        <v>1</v>
      </c>
      <c r="E3" s="115" t="s">
        <v>115</v>
      </c>
      <c r="F3" s="117" t="s">
        <v>99</v>
      </c>
      <c r="G3" s="115" t="s">
        <v>100</v>
      </c>
      <c r="H3" s="113" t="s">
        <v>107</v>
      </c>
      <c r="I3" s="115" t="s">
        <v>100</v>
      </c>
      <c r="J3" s="117" t="s">
        <v>101</v>
      </c>
      <c r="K3" s="113"/>
      <c r="L3" s="113" t="s">
        <v>108</v>
      </c>
      <c r="M3" s="113" t="s">
        <v>108</v>
      </c>
      <c r="N3" s="115" t="s">
        <v>100</v>
      </c>
      <c r="O3" s="113" t="s">
        <v>107</v>
      </c>
      <c r="P3" s="115" t="s">
        <v>100</v>
      </c>
      <c r="Q3" s="113" t="s">
        <v>107</v>
      </c>
      <c r="R3" s="113" t="s">
        <v>109</v>
      </c>
      <c r="S3" s="116" t="s">
        <v>119</v>
      </c>
      <c r="T3" s="116" t="s">
        <v>130</v>
      </c>
      <c r="U3" s="116" t="s">
        <v>120</v>
      </c>
      <c r="V3" s="116" t="s">
        <v>101</v>
      </c>
      <c r="W3" s="116" t="s">
        <v>121</v>
      </c>
      <c r="X3" s="116" t="s">
        <v>122</v>
      </c>
      <c r="Y3" s="116" t="s">
        <v>123</v>
      </c>
      <c r="Z3" s="118">
        <v>1</v>
      </c>
      <c r="AA3" s="119">
        <v>43889</v>
      </c>
      <c r="AB3" s="115" t="s">
        <v>114</v>
      </c>
      <c r="AC3" s="115" t="s">
        <v>124</v>
      </c>
      <c r="AD3" s="120">
        <v>44012</v>
      </c>
      <c r="AE3" s="121" t="s">
        <v>125</v>
      </c>
      <c r="AF3" s="114">
        <v>5</v>
      </c>
      <c r="AG3" s="116" t="s">
        <v>126</v>
      </c>
      <c r="AH3" s="114"/>
      <c r="AI3" s="122" t="e">
        <f>FAR[[#This Row],[EUL]]</f>
        <v>#VALUE!</v>
      </c>
      <c r="AJ3" s="122" t="e">
        <f>FAR[[#This Row],[Opening RUL 30 June 2026]]-1</f>
        <v>#VALUE!</v>
      </c>
      <c r="AK3" s="116" t="s">
        <v>127</v>
      </c>
      <c r="AL3" s="123">
        <v>0</v>
      </c>
      <c r="AM3" s="123">
        <v>8569</v>
      </c>
      <c r="AN3" s="124">
        <v>0</v>
      </c>
      <c r="AO3" s="124">
        <v>0</v>
      </c>
      <c r="AP3" s="124">
        <v>0</v>
      </c>
      <c r="AQ3" s="123">
        <v>8569</v>
      </c>
      <c r="AR3" s="123">
        <v>0</v>
      </c>
      <c r="AS3" s="123"/>
      <c r="AT3" s="123"/>
      <c r="AU3" s="123"/>
      <c r="AV3" s="124">
        <v>0</v>
      </c>
      <c r="AW3" s="123"/>
      <c r="AX3" s="124" t="s">
        <v>114</v>
      </c>
      <c r="AY3" s="118"/>
      <c r="AZ3" s="123"/>
      <c r="BA3" s="124">
        <v>-577.52712328767132</v>
      </c>
      <c r="BB3" s="123"/>
      <c r="BC3" s="124" t="s">
        <v>116</v>
      </c>
      <c r="BD3" s="123"/>
      <c r="BE3" s="124" t="e">
        <f>FAR[[#This Row],[Accumulated depreciation (Opening balance)]]+FAR[[#This Row],[Depreciation YTD]]</f>
        <v>#VALUE!</v>
      </c>
      <c r="BF3" s="123"/>
      <c r="BG3" s="123"/>
      <c r="BH3" s="123"/>
      <c r="BI3" s="123"/>
      <c r="BJ3" s="123"/>
      <c r="BK3" s="125" t="e">
        <f>FAR[[#This Row],[Cost Price (closing balance)]]+FAR[[#This Row],[Accumulated depreciation (Closing balance)]]</f>
        <v>#VALUE!</v>
      </c>
      <c r="BL3" s="123" t="e">
        <f>FAR[[#This Row],[Accumulated depreciation (Opening balance)]]</f>
        <v>#VALUE!</v>
      </c>
      <c r="BM3" s="123" t="e">
        <f>FAR[[#This Row],[Depreciation YTD]]</f>
        <v>#VALUE!</v>
      </c>
      <c r="BN3" s="123" t="e">
        <f>FAR[[#This Row],[Accumulated depreciation (Closing balance)]]</f>
        <v>#VALUE!</v>
      </c>
      <c r="BO3" s="113"/>
      <c r="BP3" s="113"/>
      <c r="BQ3" s="113"/>
      <c r="BR3" s="113"/>
      <c r="BS3" s="126" t="e">
        <v>#N/A</v>
      </c>
    </row>
    <row r="4" spans="1:71" s="127" customFormat="1">
      <c r="A4" s="113">
        <v>5277</v>
      </c>
      <c r="B4" s="114"/>
      <c r="C4" s="115" t="s">
        <v>54</v>
      </c>
      <c r="D4" s="116" t="s">
        <v>1</v>
      </c>
      <c r="E4" s="115" t="s">
        <v>115</v>
      </c>
      <c r="F4" s="117" t="s">
        <v>99</v>
      </c>
      <c r="G4" s="115" t="s">
        <v>100</v>
      </c>
      <c r="H4" s="113" t="s">
        <v>107</v>
      </c>
      <c r="I4" s="115" t="s">
        <v>100</v>
      </c>
      <c r="J4" s="117" t="s">
        <v>101</v>
      </c>
      <c r="K4" s="113"/>
      <c r="L4" s="113" t="s">
        <v>108</v>
      </c>
      <c r="M4" s="113" t="s">
        <v>108</v>
      </c>
      <c r="N4" s="115" t="s">
        <v>100</v>
      </c>
      <c r="O4" s="113" t="s">
        <v>107</v>
      </c>
      <c r="P4" s="115" t="s">
        <v>100</v>
      </c>
      <c r="Q4" s="113" t="s">
        <v>107</v>
      </c>
      <c r="R4" s="113" t="s">
        <v>109</v>
      </c>
      <c r="S4" s="116" t="s">
        <v>119</v>
      </c>
      <c r="T4" s="116" t="s">
        <v>130</v>
      </c>
      <c r="U4" s="116" t="s">
        <v>120</v>
      </c>
      <c r="V4" s="116" t="s">
        <v>101</v>
      </c>
      <c r="W4" s="116" t="s">
        <v>121</v>
      </c>
      <c r="X4" s="116" t="s">
        <v>122</v>
      </c>
      <c r="Y4" s="116" t="s">
        <v>123</v>
      </c>
      <c r="Z4" s="118">
        <v>1</v>
      </c>
      <c r="AA4" s="119">
        <v>43889</v>
      </c>
      <c r="AB4" s="115" t="s">
        <v>114</v>
      </c>
      <c r="AC4" s="115" t="s">
        <v>124</v>
      </c>
      <c r="AD4" s="120">
        <v>44012</v>
      </c>
      <c r="AE4" s="121" t="s">
        <v>125</v>
      </c>
      <c r="AF4" s="114">
        <v>5</v>
      </c>
      <c r="AG4" s="116" t="s">
        <v>126</v>
      </c>
      <c r="AH4" s="114"/>
      <c r="AI4" s="122" t="e">
        <f>FAR[[#This Row],[EUL]]</f>
        <v>#VALUE!</v>
      </c>
      <c r="AJ4" s="122" t="e">
        <f>FAR[[#This Row],[Opening RUL 30 June 2026]]-1</f>
        <v>#VALUE!</v>
      </c>
      <c r="AK4" s="116" t="s">
        <v>127</v>
      </c>
      <c r="AL4" s="123">
        <v>0</v>
      </c>
      <c r="AM4" s="123">
        <v>8569</v>
      </c>
      <c r="AN4" s="124">
        <v>0</v>
      </c>
      <c r="AO4" s="124">
        <v>0</v>
      </c>
      <c r="AP4" s="124">
        <v>0</v>
      </c>
      <c r="AQ4" s="123">
        <v>8569</v>
      </c>
      <c r="AR4" s="123">
        <v>0</v>
      </c>
      <c r="AS4" s="123"/>
      <c r="AT4" s="123"/>
      <c r="AU4" s="123"/>
      <c r="AV4" s="124">
        <v>0</v>
      </c>
      <c r="AW4" s="123"/>
      <c r="AX4" s="124" t="s">
        <v>114</v>
      </c>
      <c r="AY4" s="118"/>
      <c r="AZ4" s="123"/>
      <c r="BA4" s="124">
        <v>-577.52712328767132</v>
      </c>
      <c r="BB4" s="123"/>
      <c r="BC4" s="124" t="s">
        <v>116</v>
      </c>
      <c r="BD4" s="123"/>
      <c r="BE4" s="124" t="e">
        <f>FAR[[#This Row],[Accumulated depreciation (Opening balance)]]+FAR[[#This Row],[Depreciation YTD]]</f>
        <v>#VALUE!</v>
      </c>
      <c r="BF4" s="123"/>
      <c r="BG4" s="123"/>
      <c r="BH4" s="123"/>
      <c r="BI4" s="123"/>
      <c r="BJ4" s="123"/>
      <c r="BK4" s="125" t="e">
        <f>FAR[[#This Row],[Cost Price (closing balance)]]+FAR[[#This Row],[Accumulated depreciation (Closing balance)]]</f>
        <v>#VALUE!</v>
      </c>
      <c r="BL4" s="123" t="e">
        <f>FAR[[#This Row],[Accumulated depreciation (Opening balance)]]</f>
        <v>#VALUE!</v>
      </c>
      <c r="BM4" s="123" t="e">
        <f>FAR[[#This Row],[Depreciation YTD]]</f>
        <v>#VALUE!</v>
      </c>
      <c r="BN4" s="123" t="e">
        <f>FAR[[#This Row],[Accumulated depreciation (Closing balance)]]</f>
        <v>#VALUE!</v>
      </c>
      <c r="BO4" s="113"/>
      <c r="BP4" s="113"/>
      <c r="BQ4" s="113"/>
      <c r="BR4" s="113"/>
      <c r="BS4" s="126" t="e">
        <v>#N/A</v>
      </c>
    </row>
    <row r="5" spans="1:71" s="111" customFormat="1">
      <c r="A5" s="98">
        <v>5278</v>
      </c>
      <c r="B5" s="99"/>
      <c r="C5" s="100" t="s">
        <v>54</v>
      </c>
      <c r="D5" s="101" t="s">
        <v>1</v>
      </c>
      <c r="E5" s="100" t="s">
        <v>115</v>
      </c>
      <c r="F5" s="102" t="s">
        <v>99</v>
      </c>
      <c r="G5" s="100" t="s">
        <v>100</v>
      </c>
      <c r="H5" s="98" t="s">
        <v>107</v>
      </c>
      <c r="I5" s="100" t="s">
        <v>100</v>
      </c>
      <c r="J5" s="102" t="s">
        <v>101</v>
      </c>
      <c r="K5" s="98"/>
      <c r="L5" s="98" t="s">
        <v>108</v>
      </c>
      <c r="M5" s="98" t="s">
        <v>108</v>
      </c>
      <c r="N5" s="100" t="s">
        <v>100</v>
      </c>
      <c r="O5" s="98" t="s">
        <v>107</v>
      </c>
      <c r="P5" s="100" t="s">
        <v>100</v>
      </c>
      <c r="Q5" s="98" t="s">
        <v>107</v>
      </c>
      <c r="R5" s="98" t="s">
        <v>109</v>
      </c>
      <c r="S5" s="101" t="s">
        <v>119</v>
      </c>
      <c r="T5" s="101" t="s">
        <v>130</v>
      </c>
      <c r="U5" s="101" t="s">
        <v>120</v>
      </c>
      <c r="V5" s="101" t="s">
        <v>101</v>
      </c>
      <c r="W5" s="101" t="s">
        <v>121</v>
      </c>
      <c r="X5" s="101" t="s">
        <v>122</v>
      </c>
      <c r="Y5" s="101" t="s">
        <v>123</v>
      </c>
      <c r="Z5" s="103">
        <v>1</v>
      </c>
      <c r="AA5" s="104">
        <v>43889</v>
      </c>
      <c r="AB5" s="100" t="s">
        <v>114</v>
      </c>
      <c r="AC5" s="100" t="s">
        <v>124</v>
      </c>
      <c r="AD5" s="105">
        <v>44012</v>
      </c>
      <c r="AE5" s="106" t="s">
        <v>125</v>
      </c>
      <c r="AF5" s="99">
        <v>5</v>
      </c>
      <c r="AG5" s="101" t="s">
        <v>126</v>
      </c>
      <c r="AH5" s="99"/>
      <c r="AI5" s="107" t="e">
        <f>FAR[[#This Row],[EUL]]</f>
        <v>#VALUE!</v>
      </c>
      <c r="AJ5" s="107" t="e">
        <f>FAR[[#This Row],[Opening RUL 30 June 2026]]-1</f>
        <v>#VALUE!</v>
      </c>
      <c r="AK5" s="101" t="s">
        <v>127</v>
      </c>
      <c r="AL5" s="108">
        <v>0</v>
      </c>
      <c r="AM5" s="108">
        <v>8569</v>
      </c>
      <c r="AN5" s="109">
        <v>0</v>
      </c>
      <c r="AO5" s="109">
        <v>0</v>
      </c>
      <c r="AP5" s="109">
        <v>0</v>
      </c>
      <c r="AQ5" s="108">
        <v>8569</v>
      </c>
      <c r="AR5" s="108">
        <v>0</v>
      </c>
      <c r="AS5" s="108"/>
      <c r="AT5" s="108"/>
      <c r="AU5" s="108"/>
      <c r="AV5" s="109">
        <v>0</v>
      </c>
      <c r="AW5" s="108"/>
      <c r="AX5" s="109" t="s">
        <v>114</v>
      </c>
      <c r="AY5" s="103"/>
      <c r="AZ5" s="108"/>
      <c r="BA5" s="109">
        <v>-577.52712328767132</v>
      </c>
      <c r="BB5" s="108"/>
      <c r="BC5" s="109" t="s">
        <v>116</v>
      </c>
      <c r="BD5" s="108"/>
      <c r="BE5" s="109" t="e">
        <f>FAR[[#This Row],[Accumulated depreciation (Opening balance)]]+FAR[[#This Row],[Depreciation YTD]]</f>
        <v>#VALUE!</v>
      </c>
      <c r="BF5" s="108"/>
      <c r="BG5" s="108"/>
      <c r="BH5" s="108"/>
      <c r="BI5" s="108"/>
      <c r="BJ5" s="108"/>
      <c r="BK5" s="110" t="e">
        <f>FAR[[#This Row],[Cost Price (closing balance)]]+FAR[[#This Row],[Accumulated depreciation (Closing balance)]]</f>
        <v>#VALUE!</v>
      </c>
      <c r="BL5" s="108" t="e">
        <f>FAR[[#This Row],[Accumulated depreciation (Opening balance)]]</f>
        <v>#VALUE!</v>
      </c>
      <c r="BM5" s="108" t="e">
        <f>FAR[[#This Row],[Depreciation YTD]]</f>
        <v>#VALUE!</v>
      </c>
      <c r="BN5" s="108" t="e">
        <f>FAR[[#This Row],[Accumulated depreciation (Closing balance)]]</f>
        <v>#VALUE!</v>
      </c>
      <c r="BO5" s="98"/>
      <c r="BP5" s="98"/>
      <c r="BQ5" s="98"/>
      <c r="BR5" s="98"/>
      <c r="BS5" s="112" t="e">
        <v>#N/A</v>
      </c>
    </row>
    <row r="6" spans="1:71" s="127" customFormat="1">
      <c r="A6" s="113">
        <v>5279</v>
      </c>
      <c r="B6" s="114"/>
      <c r="C6" s="115" t="s">
        <v>54</v>
      </c>
      <c r="D6" s="116" t="s">
        <v>1</v>
      </c>
      <c r="E6" s="115" t="s">
        <v>115</v>
      </c>
      <c r="F6" s="117" t="s">
        <v>99</v>
      </c>
      <c r="G6" s="115" t="s">
        <v>100</v>
      </c>
      <c r="H6" s="113" t="s">
        <v>107</v>
      </c>
      <c r="I6" s="115" t="s">
        <v>100</v>
      </c>
      <c r="J6" s="117" t="s">
        <v>101</v>
      </c>
      <c r="K6" s="113"/>
      <c r="L6" s="113" t="s">
        <v>108</v>
      </c>
      <c r="M6" s="113" t="s">
        <v>108</v>
      </c>
      <c r="N6" s="115" t="s">
        <v>100</v>
      </c>
      <c r="O6" s="113" t="s">
        <v>107</v>
      </c>
      <c r="P6" s="115" t="s">
        <v>100</v>
      </c>
      <c r="Q6" s="113" t="s">
        <v>107</v>
      </c>
      <c r="R6" s="113" t="s">
        <v>109</v>
      </c>
      <c r="S6" s="116" t="s">
        <v>119</v>
      </c>
      <c r="T6" s="116" t="s">
        <v>130</v>
      </c>
      <c r="U6" s="116" t="s">
        <v>120</v>
      </c>
      <c r="V6" s="116" t="s">
        <v>101</v>
      </c>
      <c r="W6" s="116" t="s">
        <v>121</v>
      </c>
      <c r="X6" s="116" t="s">
        <v>122</v>
      </c>
      <c r="Y6" s="116" t="s">
        <v>123</v>
      </c>
      <c r="Z6" s="118">
        <v>1</v>
      </c>
      <c r="AA6" s="119">
        <v>43889</v>
      </c>
      <c r="AB6" s="115" t="s">
        <v>114</v>
      </c>
      <c r="AC6" s="115" t="s">
        <v>124</v>
      </c>
      <c r="AD6" s="120">
        <v>44012</v>
      </c>
      <c r="AE6" s="121" t="s">
        <v>125</v>
      </c>
      <c r="AF6" s="114">
        <v>5</v>
      </c>
      <c r="AG6" s="116" t="s">
        <v>126</v>
      </c>
      <c r="AH6" s="114"/>
      <c r="AI6" s="122" t="e">
        <f>FAR[[#This Row],[EUL]]</f>
        <v>#VALUE!</v>
      </c>
      <c r="AJ6" s="122" t="e">
        <f>FAR[[#This Row],[Opening RUL 30 June 2026]]-1</f>
        <v>#VALUE!</v>
      </c>
      <c r="AK6" s="116" t="s">
        <v>127</v>
      </c>
      <c r="AL6" s="123">
        <v>0</v>
      </c>
      <c r="AM6" s="123">
        <v>8569</v>
      </c>
      <c r="AN6" s="124">
        <v>0</v>
      </c>
      <c r="AO6" s="124">
        <v>0</v>
      </c>
      <c r="AP6" s="124">
        <v>0</v>
      </c>
      <c r="AQ6" s="123">
        <v>8569</v>
      </c>
      <c r="AR6" s="123">
        <v>0</v>
      </c>
      <c r="AS6" s="123"/>
      <c r="AT6" s="123"/>
      <c r="AU6" s="123"/>
      <c r="AV6" s="124">
        <v>0</v>
      </c>
      <c r="AW6" s="123"/>
      <c r="AX6" s="124" t="s">
        <v>114</v>
      </c>
      <c r="AY6" s="118"/>
      <c r="AZ6" s="123"/>
      <c r="BA6" s="124">
        <v>-577.52712328767132</v>
      </c>
      <c r="BB6" s="123"/>
      <c r="BC6" s="124" t="s">
        <v>116</v>
      </c>
      <c r="BD6" s="123"/>
      <c r="BE6" s="124" t="e">
        <f>FAR[[#This Row],[Accumulated depreciation (Opening balance)]]+FAR[[#This Row],[Depreciation YTD]]</f>
        <v>#VALUE!</v>
      </c>
      <c r="BF6" s="123"/>
      <c r="BG6" s="123"/>
      <c r="BH6" s="123"/>
      <c r="BI6" s="123"/>
      <c r="BJ6" s="123"/>
      <c r="BK6" s="125" t="e">
        <f>FAR[[#This Row],[Cost Price (closing balance)]]+FAR[[#This Row],[Accumulated depreciation (Closing balance)]]</f>
        <v>#VALUE!</v>
      </c>
      <c r="BL6" s="123" t="e">
        <f>FAR[[#This Row],[Accumulated depreciation (Opening balance)]]</f>
        <v>#VALUE!</v>
      </c>
      <c r="BM6" s="123" t="e">
        <f>FAR[[#This Row],[Depreciation YTD]]</f>
        <v>#VALUE!</v>
      </c>
      <c r="BN6" s="123" t="e">
        <f>FAR[[#This Row],[Accumulated depreciation (Closing balance)]]</f>
        <v>#VALUE!</v>
      </c>
      <c r="BO6" s="113"/>
      <c r="BP6" s="113"/>
      <c r="BQ6" s="113"/>
      <c r="BR6" s="113"/>
      <c r="BS6" s="126" t="e">
        <v>#N/A</v>
      </c>
    </row>
    <row r="7" spans="1:71" s="3" customFormat="1">
      <c r="A7" s="34">
        <v>0</v>
      </c>
      <c r="B7" s="35"/>
      <c r="C7" s="9" t="s">
        <v>54</v>
      </c>
      <c r="D7" s="10" t="s">
        <v>1</v>
      </c>
      <c r="E7" s="9" t="s">
        <v>115</v>
      </c>
      <c r="F7" s="36" t="s">
        <v>99</v>
      </c>
      <c r="G7" s="9" t="s">
        <v>100</v>
      </c>
      <c r="H7" s="34" t="s">
        <v>107</v>
      </c>
      <c r="I7" s="9" t="s">
        <v>100</v>
      </c>
      <c r="J7" s="36" t="s">
        <v>101</v>
      </c>
      <c r="K7" s="34"/>
      <c r="L7" s="34" t="s">
        <v>108</v>
      </c>
      <c r="M7" s="34" t="s">
        <v>108</v>
      </c>
      <c r="N7" s="9" t="s">
        <v>100</v>
      </c>
      <c r="O7" s="34" t="s">
        <v>107</v>
      </c>
      <c r="P7" s="9" t="s">
        <v>100</v>
      </c>
      <c r="Q7" s="34" t="s">
        <v>107</v>
      </c>
      <c r="R7" s="34" t="s">
        <v>110</v>
      </c>
      <c r="S7" s="10" t="s">
        <v>119</v>
      </c>
      <c r="T7" s="10" t="s">
        <v>130</v>
      </c>
      <c r="U7" s="10" t="s">
        <v>120</v>
      </c>
      <c r="V7" s="10" t="s">
        <v>101</v>
      </c>
      <c r="W7" s="10" t="s">
        <v>121</v>
      </c>
      <c r="X7" s="10" t="s">
        <v>122</v>
      </c>
      <c r="Y7" s="10" t="s">
        <v>123</v>
      </c>
      <c r="Z7" s="37">
        <v>1</v>
      </c>
      <c r="AA7" s="33">
        <v>43889</v>
      </c>
      <c r="AB7" s="9" t="s">
        <v>114</v>
      </c>
      <c r="AC7" s="9" t="s">
        <v>124</v>
      </c>
      <c r="AD7" s="15">
        <v>44012</v>
      </c>
      <c r="AE7" s="39" t="s">
        <v>125</v>
      </c>
      <c r="AF7" s="35">
        <v>5</v>
      </c>
      <c r="AG7" s="10" t="s">
        <v>126</v>
      </c>
      <c r="AH7" s="35"/>
      <c r="AI7" s="31">
        <f>FAR[[#This Row],[EUL]]</f>
        <v>6</v>
      </c>
      <c r="AJ7" s="31">
        <f>FAR[[#This Row],[Opening RUL 30 June 2026]]-1</f>
        <v>0</v>
      </c>
      <c r="AK7" s="10" t="s">
        <v>127</v>
      </c>
      <c r="AL7" s="38">
        <v>0</v>
      </c>
      <c r="AM7" s="38">
        <v>4159</v>
      </c>
      <c r="AN7" s="13">
        <v>0</v>
      </c>
      <c r="AO7" s="13">
        <v>0</v>
      </c>
      <c r="AP7" s="13">
        <v>0</v>
      </c>
      <c r="AQ7" s="38">
        <v>4159</v>
      </c>
      <c r="AR7" s="38">
        <v>0</v>
      </c>
      <c r="AS7" s="38"/>
      <c r="AT7" s="38"/>
      <c r="AU7" s="38"/>
      <c r="AV7" s="13">
        <v>0</v>
      </c>
      <c r="AW7" s="38"/>
      <c r="AX7" s="13" t="s">
        <v>114</v>
      </c>
      <c r="AY7" s="37"/>
      <c r="AZ7" s="38"/>
      <c r="BA7" s="13">
        <v>-280.30520547945207</v>
      </c>
      <c r="BB7" s="38"/>
      <c r="BC7" s="13" t="s">
        <v>116</v>
      </c>
      <c r="BD7" s="38"/>
      <c r="BE7" s="13">
        <f>FAR[[#This Row],[Accumulated depreciation (Opening balance)]]+FAR[[#This Row],[Depreciation YTD]]</f>
        <v>-6384</v>
      </c>
      <c r="BF7" s="38"/>
      <c r="BG7" s="38"/>
      <c r="BH7" s="38"/>
      <c r="BI7" s="38"/>
      <c r="BJ7" s="38"/>
      <c r="BK7" s="29">
        <f>FAR[[#This Row],[Cost Price (closing balance)]]+FAR[[#This Row],[Accumulated depreciation (Closing balance)]]</f>
        <v>0</v>
      </c>
      <c r="BL7" s="38">
        <f>FAR[[#This Row],[Accumulated depreciation (Opening balance)]]</f>
        <v>-6029.3333333333339</v>
      </c>
      <c r="BM7" s="38">
        <f>FAR[[#This Row],[Depreciation YTD]]</f>
        <v>-354.66666666666606</v>
      </c>
      <c r="BN7" s="38">
        <f>FAR[[#This Row],[Accumulated depreciation (Closing balance)]]</f>
        <v>-6384</v>
      </c>
      <c r="BO7" s="34"/>
      <c r="BP7" s="34"/>
      <c r="BQ7" s="34"/>
      <c r="BR7" s="34"/>
      <c r="BS7" t="e">
        <v>#N/A</v>
      </c>
    </row>
    <row r="8" spans="1:71" s="3" customFormat="1">
      <c r="A8" s="34">
        <v>0</v>
      </c>
      <c r="B8" s="35"/>
      <c r="C8" s="9" t="s">
        <v>54</v>
      </c>
      <c r="D8" s="10" t="s">
        <v>1</v>
      </c>
      <c r="E8" s="9" t="s">
        <v>115</v>
      </c>
      <c r="F8" s="36" t="s">
        <v>99</v>
      </c>
      <c r="G8" s="9" t="s">
        <v>100</v>
      </c>
      <c r="H8" s="34" t="s">
        <v>107</v>
      </c>
      <c r="I8" s="9" t="s">
        <v>100</v>
      </c>
      <c r="J8" s="36" t="s">
        <v>101</v>
      </c>
      <c r="K8" s="34"/>
      <c r="L8" s="34" t="s">
        <v>108</v>
      </c>
      <c r="M8" s="34" t="s">
        <v>108</v>
      </c>
      <c r="N8" s="9" t="s">
        <v>100</v>
      </c>
      <c r="O8" s="34" t="s">
        <v>107</v>
      </c>
      <c r="P8" s="9" t="s">
        <v>100</v>
      </c>
      <c r="Q8" s="34" t="s">
        <v>107</v>
      </c>
      <c r="R8" s="34" t="s">
        <v>111</v>
      </c>
      <c r="S8" s="10" t="s">
        <v>119</v>
      </c>
      <c r="T8" s="10" t="s">
        <v>130</v>
      </c>
      <c r="U8" s="10" t="s">
        <v>120</v>
      </c>
      <c r="V8" s="10" t="s">
        <v>101</v>
      </c>
      <c r="W8" s="10" t="s">
        <v>121</v>
      </c>
      <c r="X8" s="10" t="s">
        <v>122</v>
      </c>
      <c r="Y8" s="10" t="s">
        <v>123</v>
      </c>
      <c r="Z8" s="37">
        <v>1</v>
      </c>
      <c r="AA8" s="33">
        <v>43889</v>
      </c>
      <c r="AB8" s="9" t="s">
        <v>114</v>
      </c>
      <c r="AC8" s="9" t="s">
        <v>124</v>
      </c>
      <c r="AD8" s="15">
        <v>44012</v>
      </c>
      <c r="AE8" s="39" t="s">
        <v>125</v>
      </c>
      <c r="AF8" s="35">
        <v>5</v>
      </c>
      <c r="AG8" s="10" t="s">
        <v>126</v>
      </c>
      <c r="AH8" s="35"/>
      <c r="AI8" s="31">
        <f>FAR[[#This Row],[EUL]]</f>
        <v>6</v>
      </c>
      <c r="AJ8" s="31">
        <f>FAR[[#This Row],[Opening RUL 30 June 2026]]-1</f>
        <v>0</v>
      </c>
      <c r="AK8" s="10" t="s">
        <v>127</v>
      </c>
      <c r="AL8" s="38">
        <v>0</v>
      </c>
      <c r="AM8" s="38">
        <v>6419</v>
      </c>
      <c r="AN8" s="13">
        <v>0</v>
      </c>
      <c r="AO8" s="13">
        <v>0</v>
      </c>
      <c r="AP8" s="13">
        <v>0</v>
      </c>
      <c r="AQ8" s="38">
        <v>6419</v>
      </c>
      <c r="AR8" s="38">
        <v>0</v>
      </c>
      <c r="AS8" s="38"/>
      <c r="AT8" s="38"/>
      <c r="AU8" s="38"/>
      <c r="AV8" s="13">
        <v>0</v>
      </c>
      <c r="AW8" s="38"/>
      <c r="AX8" s="13" t="s">
        <v>114</v>
      </c>
      <c r="AY8" s="37"/>
      <c r="AZ8" s="38"/>
      <c r="BA8" s="13">
        <v>-432.62301369863019</v>
      </c>
      <c r="BB8" s="38"/>
      <c r="BC8" s="13" t="s">
        <v>116</v>
      </c>
      <c r="BD8" s="38"/>
      <c r="BE8" s="13">
        <f>FAR[[#This Row],[Accumulated depreciation (Opening balance)]]+FAR[[#This Row],[Depreciation YTD]]</f>
        <v>-2394</v>
      </c>
      <c r="BF8" s="38"/>
      <c r="BG8" s="38"/>
      <c r="BH8" s="38"/>
      <c r="BI8" s="38"/>
      <c r="BJ8" s="38"/>
      <c r="BK8" s="29">
        <f>FAR[[#This Row],[Cost Price (closing balance)]]+FAR[[#This Row],[Accumulated depreciation (Closing balance)]]</f>
        <v>0</v>
      </c>
      <c r="BL8" s="38">
        <f>FAR[[#This Row],[Accumulated depreciation (Opening balance)]]</f>
        <v>-2261</v>
      </c>
      <c r="BM8" s="38">
        <f>FAR[[#This Row],[Depreciation YTD]]</f>
        <v>-133</v>
      </c>
      <c r="BN8" s="38">
        <f>FAR[[#This Row],[Accumulated depreciation (Closing balance)]]</f>
        <v>-2394</v>
      </c>
      <c r="BO8" s="34"/>
      <c r="BP8" s="34"/>
      <c r="BQ8" s="34"/>
      <c r="BR8" s="34"/>
      <c r="BS8" t="e">
        <v>#N/A</v>
      </c>
    </row>
    <row r="9" spans="1:71" s="3" customFormat="1">
      <c r="A9" s="34">
        <v>0</v>
      </c>
      <c r="B9" s="35"/>
      <c r="C9" s="9" t="s">
        <v>54</v>
      </c>
      <c r="D9" s="10" t="s">
        <v>1</v>
      </c>
      <c r="E9" s="9" t="s">
        <v>115</v>
      </c>
      <c r="F9" s="36" t="s">
        <v>99</v>
      </c>
      <c r="G9" s="9" t="s">
        <v>100</v>
      </c>
      <c r="H9" s="34" t="s">
        <v>107</v>
      </c>
      <c r="I9" s="9" t="s">
        <v>100</v>
      </c>
      <c r="J9" s="36" t="s">
        <v>101</v>
      </c>
      <c r="K9" s="34"/>
      <c r="L9" s="34" t="s">
        <v>108</v>
      </c>
      <c r="M9" s="34" t="s">
        <v>108</v>
      </c>
      <c r="N9" s="9" t="s">
        <v>100</v>
      </c>
      <c r="O9" s="34" t="s">
        <v>107</v>
      </c>
      <c r="P9" s="9" t="s">
        <v>100</v>
      </c>
      <c r="Q9" s="34" t="s">
        <v>107</v>
      </c>
      <c r="R9" s="34" t="s">
        <v>112</v>
      </c>
      <c r="S9" s="10" t="s">
        <v>119</v>
      </c>
      <c r="T9" s="10" t="s">
        <v>130</v>
      </c>
      <c r="U9" s="10" t="s">
        <v>120</v>
      </c>
      <c r="V9" s="10" t="s">
        <v>101</v>
      </c>
      <c r="W9" s="10" t="s">
        <v>121</v>
      </c>
      <c r="X9" s="10" t="s">
        <v>122</v>
      </c>
      <c r="Y9" s="10" t="s">
        <v>123</v>
      </c>
      <c r="Z9" s="37">
        <v>1</v>
      </c>
      <c r="AA9" s="33">
        <v>43889</v>
      </c>
      <c r="AB9" s="9" t="s">
        <v>114</v>
      </c>
      <c r="AC9" s="9" t="s">
        <v>124</v>
      </c>
      <c r="AD9" s="15">
        <v>44012</v>
      </c>
      <c r="AE9" s="39" t="s">
        <v>125</v>
      </c>
      <c r="AF9" s="35">
        <v>5</v>
      </c>
      <c r="AG9" s="10" t="s">
        <v>126</v>
      </c>
      <c r="AH9" s="35"/>
      <c r="AI9" s="31">
        <f>FAR[[#This Row],[EUL]]</f>
        <v>6</v>
      </c>
      <c r="AJ9" s="31">
        <f>FAR[[#This Row],[Opening RUL 30 June 2026]]-1</f>
        <v>0</v>
      </c>
      <c r="AK9" s="10" t="s">
        <v>127</v>
      </c>
      <c r="AL9" s="38">
        <v>0</v>
      </c>
      <c r="AM9" s="38">
        <v>9463</v>
      </c>
      <c r="AN9" s="13">
        <v>0</v>
      </c>
      <c r="AO9" s="13">
        <v>0</v>
      </c>
      <c r="AP9" s="13">
        <v>0</v>
      </c>
      <c r="AQ9" s="38">
        <v>9463</v>
      </c>
      <c r="AR9" s="38">
        <v>0</v>
      </c>
      <c r="AS9" s="38"/>
      <c r="AT9" s="38"/>
      <c r="AU9" s="38"/>
      <c r="AV9" s="13">
        <v>0</v>
      </c>
      <c r="AW9" s="38"/>
      <c r="AX9" s="13" t="s">
        <v>114</v>
      </c>
      <c r="AY9" s="37"/>
      <c r="AZ9" s="38"/>
      <c r="BA9" s="13">
        <v>-637.7802739726028</v>
      </c>
      <c r="BB9" s="38"/>
      <c r="BC9" s="13" t="s">
        <v>116</v>
      </c>
      <c r="BD9" s="38"/>
      <c r="BE9" s="13">
        <f>FAR[[#This Row],[Accumulated depreciation (Opening balance)]]+FAR[[#This Row],[Depreciation YTD]]</f>
        <v>-6460.38</v>
      </c>
      <c r="BF9" s="38"/>
      <c r="BG9" s="38"/>
      <c r="BH9" s="38"/>
      <c r="BI9" s="38"/>
      <c r="BJ9" s="38"/>
      <c r="BK9" s="29">
        <f>FAR[[#This Row],[Cost Price (closing balance)]]+FAR[[#This Row],[Accumulated depreciation (Closing balance)]]</f>
        <v>0</v>
      </c>
      <c r="BL9" s="38">
        <f>FAR[[#This Row],[Accumulated depreciation (Opening balance)]]</f>
        <v>-6101.4699999999993</v>
      </c>
      <c r="BM9" s="38">
        <f>FAR[[#This Row],[Depreciation YTD]]</f>
        <v>-358.91000000000076</v>
      </c>
      <c r="BN9" s="38">
        <f>FAR[[#This Row],[Accumulated depreciation (Closing balance)]]</f>
        <v>-6460.38</v>
      </c>
      <c r="BO9" s="34"/>
      <c r="BP9" s="34"/>
      <c r="BQ9" s="34"/>
      <c r="BR9" s="34"/>
      <c r="BS9" t="e">
        <v>#N/A</v>
      </c>
    </row>
    <row r="10" spans="1:71" s="3" customFormat="1">
      <c r="A10" s="34">
        <v>0</v>
      </c>
      <c r="B10" s="35"/>
      <c r="C10" s="9" t="s">
        <v>54</v>
      </c>
      <c r="D10" s="10" t="s">
        <v>1</v>
      </c>
      <c r="E10" s="9" t="s">
        <v>115</v>
      </c>
      <c r="F10" s="36" t="s">
        <v>99</v>
      </c>
      <c r="G10" s="9" t="s">
        <v>100</v>
      </c>
      <c r="H10" s="34" t="s">
        <v>107</v>
      </c>
      <c r="I10" s="9" t="s">
        <v>100</v>
      </c>
      <c r="J10" s="36" t="s">
        <v>101</v>
      </c>
      <c r="K10" s="34"/>
      <c r="L10" s="34" t="s">
        <v>108</v>
      </c>
      <c r="M10" s="34" t="s">
        <v>108</v>
      </c>
      <c r="N10" s="9" t="s">
        <v>100</v>
      </c>
      <c r="O10" s="34" t="s">
        <v>107</v>
      </c>
      <c r="P10" s="9" t="s">
        <v>100</v>
      </c>
      <c r="Q10" s="34" t="s">
        <v>107</v>
      </c>
      <c r="R10" s="34" t="s">
        <v>112</v>
      </c>
      <c r="S10" s="10" t="s">
        <v>119</v>
      </c>
      <c r="T10" s="10" t="s">
        <v>130</v>
      </c>
      <c r="U10" s="10" t="s">
        <v>120</v>
      </c>
      <c r="V10" s="10" t="s">
        <v>101</v>
      </c>
      <c r="W10" s="10" t="s">
        <v>121</v>
      </c>
      <c r="X10" s="10" t="s">
        <v>122</v>
      </c>
      <c r="Y10" s="10" t="s">
        <v>123</v>
      </c>
      <c r="Z10" s="37">
        <v>1</v>
      </c>
      <c r="AA10" s="33">
        <v>43889</v>
      </c>
      <c r="AB10" s="9" t="s">
        <v>114</v>
      </c>
      <c r="AC10" s="9" t="s">
        <v>124</v>
      </c>
      <c r="AD10" s="15">
        <v>44012</v>
      </c>
      <c r="AE10" s="39" t="s">
        <v>125</v>
      </c>
      <c r="AF10" s="35">
        <v>5</v>
      </c>
      <c r="AG10" s="10" t="s">
        <v>126</v>
      </c>
      <c r="AH10" s="35"/>
      <c r="AI10" s="31">
        <f>FAR[[#This Row],[EUL]]</f>
        <v>6</v>
      </c>
      <c r="AJ10" s="31">
        <f>FAR[[#This Row],[Opening RUL 30 June 2026]]-1</f>
        <v>0</v>
      </c>
      <c r="AK10" s="10" t="s">
        <v>127</v>
      </c>
      <c r="AL10" s="38">
        <v>0</v>
      </c>
      <c r="AM10" s="38">
        <v>9463</v>
      </c>
      <c r="AN10" s="13">
        <v>0</v>
      </c>
      <c r="AO10" s="13">
        <v>0</v>
      </c>
      <c r="AP10" s="13">
        <v>0</v>
      </c>
      <c r="AQ10" s="38">
        <v>9463</v>
      </c>
      <c r="AR10" s="38">
        <v>0</v>
      </c>
      <c r="AS10" s="38"/>
      <c r="AT10" s="38"/>
      <c r="AU10" s="38"/>
      <c r="AV10" s="13">
        <v>0</v>
      </c>
      <c r="AW10" s="38"/>
      <c r="AX10" s="13" t="s">
        <v>114</v>
      </c>
      <c r="AY10" s="37"/>
      <c r="AZ10" s="38"/>
      <c r="BA10" s="13">
        <v>-637.7802739726028</v>
      </c>
      <c r="BB10" s="38"/>
      <c r="BC10" s="13" t="s">
        <v>116</v>
      </c>
      <c r="BD10" s="38"/>
      <c r="BE10" s="13">
        <f>FAR[[#This Row],[Accumulated depreciation (Opening balance)]]+FAR[[#This Row],[Depreciation YTD]]</f>
        <v>-3780.24</v>
      </c>
      <c r="BF10" s="38"/>
      <c r="BG10" s="38"/>
      <c r="BH10" s="38"/>
      <c r="BI10" s="38"/>
      <c r="BJ10" s="38"/>
      <c r="BK10" s="29">
        <f>FAR[[#This Row],[Cost Price (closing balance)]]+FAR[[#This Row],[Accumulated depreciation (Closing balance)]]</f>
        <v>0</v>
      </c>
      <c r="BL10" s="38">
        <f>FAR[[#This Row],[Accumulated depreciation (Opening balance)]]</f>
        <v>-3570.2266666666665</v>
      </c>
      <c r="BM10" s="38">
        <f>FAR[[#This Row],[Depreciation YTD]]</f>
        <v>-210.01333333333332</v>
      </c>
      <c r="BN10" s="38">
        <f>FAR[[#This Row],[Accumulated depreciation (Closing balance)]]</f>
        <v>-3780.24</v>
      </c>
      <c r="BO10" s="34"/>
      <c r="BP10" s="34"/>
      <c r="BQ10" s="34"/>
      <c r="BR10" s="34"/>
      <c r="BS10" t="e">
        <v>#N/A</v>
      </c>
    </row>
    <row r="11" spans="1:71" s="3" customFormat="1">
      <c r="A11" s="34">
        <v>0</v>
      </c>
      <c r="B11" s="35"/>
      <c r="C11" s="9" t="s">
        <v>54</v>
      </c>
      <c r="D11" s="10" t="s">
        <v>1</v>
      </c>
      <c r="E11" s="9" t="s">
        <v>115</v>
      </c>
      <c r="F11" s="36" t="s">
        <v>99</v>
      </c>
      <c r="G11" s="9" t="s">
        <v>100</v>
      </c>
      <c r="H11" s="34" t="s">
        <v>107</v>
      </c>
      <c r="I11" s="9" t="s">
        <v>100</v>
      </c>
      <c r="J11" s="36" t="s">
        <v>101</v>
      </c>
      <c r="K11" s="34"/>
      <c r="L11" s="34" t="s">
        <v>108</v>
      </c>
      <c r="M11" s="34" t="s">
        <v>108</v>
      </c>
      <c r="N11" s="9" t="s">
        <v>100</v>
      </c>
      <c r="O11" s="34" t="s">
        <v>107</v>
      </c>
      <c r="P11" s="9" t="s">
        <v>100</v>
      </c>
      <c r="Q11" s="34" t="s">
        <v>107</v>
      </c>
      <c r="R11" s="34" t="s">
        <v>112</v>
      </c>
      <c r="S11" s="10" t="s">
        <v>119</v>
      </c>
      <c r="T11" s="10" t="s">
        <v>130</v>
      </c>
      <c r="U11" s="10" t="s">
        <v>120</v>
      </c>
      <c r="V11" s="10" t="s">
        <v>101</v>
      </c>
      <c r="W11" s="10" t="s">
        <v>121</v>
      </c>
      <c r="X11" s="10" t="s">
        <v>122</v>
      </c>
      <c r="Y11" s="10" t="s">
        <v>123</v>
      </c>
      <c r="Z11" s="37">
        <v>1</v>
      </c>
      <c r="AA11" s="33">
        <v>43889</v>
      </c>
      <c r="AB11" s="9" t="s">
        <v>114</v>
      </c>
      <c r="AC11" s="9" t="s">
        <v>124</v>
      </c>
      <c r="AD11" s="15">
        <v>44012</v>
      </c>
      <c r="AE11" s="39" t="s">
        <v>125</v>
      </c>
      <c r="AF11" s="35">
        <v>5</v>
      </c>
      <c r="AG11" s="10" t="s">
        <v>126</v>
      </c>
      <c r="AH11" s="35"/>
      <c r="AI11" s="31">
        <f>FAR[[#This Row],[EUL]]</f>
        <v>6</v>
      </c>
      <c r="AJ11" s="31">
        <f>FAR[[#This Row],[Opening RUL 30 June 2026]]-1</f>
        <v>0</v>
      </c>
      <c r="AK11" s="10" t="s">
        <v>127</v>
      </c>
      <c r="AL11" s="38">
        <v>0</v>
      </c>
      <c r="AM11" s="38">
        <v>9463</v>
      </c>
      <c r="AN11" s="13">
        <v>0</v>
      </c>
      <c r="AO11" s="13">
        <v>0</v>
      </c>
      <c r="AP11" s="13">
        <v>0</v>
      </c>
      <c r="AQ11" s="38">
        <v>9463</v>
      </c>
      <c r="AR11" s="38">
        <v>0</v>
      </c>
      <c r="AS11" s="38"/>
      <c r="AT11" s="38"/>
      <c r="AU11" s="38"/>
      <c r="AV11" s="13">
        <v>0</v>
      </c>
      <c r="AW11" s="38"/>
      <c r="AX11" s="13" t="s">
        <v>114</v>
      </c>
      <c r="AY11" s="37"/>
      <c r="AZ11" s="38"/>
      <c r="BA11" s="13">
        <v>-637.7802739726028</v>
      </c>
      <c r="BB11" s="38"/>
      <c r="BC11" s="13" t="s">
        <v>116</v>
      </c>
      <c r="BD11" s="38"/>
      <c r="BE11" s="13">
        <f>FAR[[#This Row],[Accumulated depreciation (Opening balance)]]+FAR[[#This Row],[Depreciation YTD]]</f>
        <v>-2560.44</v>
      </c>
      <c r="BF11" s="38"/>
      <c r="BG11" s="38"/>
      <c r="BH11" s="38"/>
      <c r="BI11" s="38"/>
      <c r="BJ11" s="38"/>
      <c r="BK11" s="29">
        <f>FAR[[#This Row],[Cost Price (closing balance)]]+FAR[[#This Row],[Accumulated depreciation (Closing balance)]]</f>
        <v>0</v>
      </c>
      <c r="BL11" s="38">
        <f>FAR[[#This Row],[Accumulated depreciation (Opening balance)]]</f>
        <v>-2418.1933333333336</v>
      </c>
      <c r="BM11" s="38">
        <f>FAR[[#This Row],[Depreciation YTD]]</f>
        <v>-142.24666666666644</v>
      </c>
      <c r="BN11" s="38">
        <f>FAR[[#This Row],[Accumulated depreciation (Closing balance)]]</f>
        <v>-2560.44</v>
      </c>
      <c r="BO11" s="34"/>
      <c r="BP11" s="34"/>
      <c r="BQ11" s="34"/>
      <c r="BR11" s="34"/>
      <c r="BS11" t="e">
        <v>#N/A</v>
      </c>
    </row>
    <row r="12" spans="1:71" s="3" customFormat="1">
      <c r="A12" s="34">
        <v>0</v>
      </c>
      <c r="B12" s="35"/>
      <c r="C12" s="9" t="s">
        <v>54</v>
      </c>
      <c r="D12" s="10" t="s">
        <v>1</v>
      </c>
      <c r="E12" s="9" t="s">
        <v>115</v>
      </c>
      <c r="F12" s="36" t="s">
        <v>99</v>
      </c>
      <c r="G12" s="9" t="s">
        <v>100</v>
      </c>
      <c r="H12" s="34" t="s">
        <v>107</v>
      </c>
      <c r="I12" s="9" t="s">
        <v>100</v>
      </c>
      <c r="J12" s="36" t="s">
        <v>101</v>
      </c>
      <c r="K12" s="34"/>
      <c r="L12" s="34" t="s">
        <v>108</v>
      </c>
      <c r="M12" s="34" t="s">
        <v>108</v>
      </c>
      <c r="N12" s="9" t="s">
        <v>100</v>
      </c>
      <c r="O12" s="34" t="s">
        <v>107</v>
      </c>
      <c r="P12" s="9" t="s">
        <v>100</v>
      </c>
      <c r="Q12" s="34" t="s">
        <v>107</v>
      </c>
      <c r="R12" s="34" t="s">
        <v>112</v>
      </c>
      <c r="S12" s="10" t="s">
        <v>119</v>
      </c>
      <c r="T12" s="10" t="s">
        <v>130</v>
      </c>
      <c r="U12" s="10" t="s">
        <v>120</v>
      </c>
      <c r="V12" s="10" t="s">
        <v>101</v>
      </c>
      <c r="W12" s="10" t="s">
        <v>121</v>
      </c>
      <c r="X12" s="10" t="s">
        <v>122</v>
      </c>
      <c r="Y12" s="10" t="s">
        <v>123</v>
      </c>
      <c r="Z12" s="37">
        <v>1</v>
      </c>
      <c r="AA12" s="33">
        <v>43889</v>
      </c>
      <c r="AB12" s="9" t="s">
        <v>114</v>
      </c>
      <c r="AC12" s="9" t="s">
        <v>124</v>
      </c>
      <c r="AD12" s="15">
        <v>44012</v>
      </c>
      <c r="AE12" s="39" t="s">
        <v>125</v>
      </c>
      <c r="AF12" s="35">
        <v>5</v>
      </c>
      <c r="AG12" s="10" t="s">
        <v>126</v>
      </c>
      <c r="AH12" s="35"/>
      <c r="AI12" s="31">
        <f>FAR[[#This Row],[EUL]]</f>
        <v>6</v>
      </c>
      <c r="AJ12" s="31">
        <f>FAR[[#This Row],[Opening RUL 30 June 2026]]-1</f>
        <v>0</v>
      </c>
      <c r="AK12" s="10" t="s">
        <v>127</v>
      </c>
      <c r="AL12" s="38">
        <v>0</v>
      </c>
      <c r="AM12" s="38">
        <v>9463</v>
      </c>
      <c r="AN12" s="13">
        <v>0</v>
      </c>
      <c r="AO12" s="13">
        <v>0</v>
      </c>
      <c r="AP12" s="13">
        <v>0</v>
      </c>
      <c r="AQ12" s="38">
        <v>9463</v>
      </c>
      <c r="AR12" s="38">
        <v>0</v>
      </c>
      <c r="AS12" s="38"/>
      <c r="AT12" s="38"/>
      <c r="AU12" s="38"/>
      <c r="AV12" s="13">
        <v>0</v>
      </c>
      <c r="AW12" s="38"/>
      <c r="AX12" s="13" t="s">
        <v>114</v>
      </c>
      <c r="AY12" s="37"/>
      <c r="AZ12" s="38"/>
      <c r="BA12" s="13">
        <v>-637.7802739726028</v>
      </c>
      <c r="BB12" s="38"/>
      <c r="BC12" s="13" t="s">
        <v>116</v>
      </c>
      <c r="BD12" s="38"/>
      <c r="BE12" s="13">
        <f>FAR[[#This Row],[Accumulated depreciation (Opening balance)]]+FAR[[#This Row],[Depreciation YTD]]</f>
        <v>-2560.44</v>
      </c>
      <c r="BF12" s="38"/>
      <c r="BG12" s="38"/>
      <c r="BH12" s="38"/>
      <c r="BI12" s="38"/>
      <c r="BJ12" s="38"/>
      <c r="BK12" s="29">
        <f>FAR[[#This Row],[Cost Price (closing balance)]]+FAR[[#This Row],[Accumulated depreciation (Closing balance)]]</f>
        <v>0</v>
      </c>
      <c r="BL12" s="38">
        <f>FAR[[#This Row],[Accumulated depreciation (Opening balance)]]</f>
        <v>-2418.1933333333336</v>
      </c>
      <c r="BM12" s="38">
        <f>FAR[[#This Row],[Depreciation YTD]]</f>
        <v>-142.24666666666644</v>
      </c>
      <c r="BN12" s="38">
        <f>FAR[[#This Row],[Accumulated depreciation (Closing balance)]]</f>
        <v>-2560.44</v>
      </c>
      <c r="BO12" s="34"/>
      <c r="BP12" s="34"/>
      <c r="BQ12" s="34"/>
      <c r="BR12" s="34"/>
      <c r="BS12" t="e">
        <v>#N/A</v>
      </c>
    </row>
    <row r="13" spans="1:71" s="111" customFormat="1">
      <c r="A13" s="34">
        <v>0</v>
      </c>
      <c r="B13" s="35"/>
      <c r="C13" s="9" t="s">
        <v>54</v>
      </c>
      <c r="D13" s="10" t="s">
        <v>1</v>
      </c>
      <c r="E13" s="9" t="s">
        <v>115</v>
      </c>
      <c r="F13" s="36" t="s">
        <v>99</v>
      </c>
      <c r="G13" s="9" t="s">
        <v>100</v>
      </c>
      <c r="H13" s="34" t="s">
        <v>107</v>
      </c>
      <c r="I13" s="9" t="s">
        <v>100</v>
      </c>
      <c r="J13" s="36" t="s">
        <v>101</v>
      </c>
      <c r="K13" s="34"/>
      <c r="L13" s="34" t="s">
        <v>108</v>
      </c>
      <c r="M13" s="34" t="s">
        <v>108</v>
      </c>
      <c r="N13" s="9" t="s">
        <v>100</v>
      </c>
      <c r="O13" s="34" t="s">
        <v>107</v>
      </c>
      <c r="P13" s="9" t="s">
        <v>100</v>
      </c>
      <c r="Q13" s="34" t="s">
        <v>107</v>
      </c>
      <c r="R13" s="34" t="s">
        <v>112</v>
      </c>
      <c r="S13" s="10" t="s">
        <v>119</v>
      </c>
      <c r="T13" s="10" t="s">
        <v>130</v>
      </c>
      <c r="U13" s="10" t="s">
        <v>120</v>
      </c>
      <c r="V13" s="10" t="s">
        <v>101</v>
      </c>
      <c r="W13" s="10" t="s">
        <v>121</v>
      </c>
      <c r="X13" s="10" t="s">
        <v>122</v>
      </c>
      <c r="Y13" s="10" t="s">
        <v>123</v>
      </c>
      <c r="Z13" s="37">
        <v>1</v>
      </c>
      <c r="AA13" s="33">
        <v>43889</v>
      </c>
      <c r="AB13" s="9" t="s">
        <v>114</v>
      </c>
      <c r="AC13" s="9" t="s">
        <v>124</v>
      </c>
      <c r="AD13" s="15">
        <v>44012</v>
      </c>
      <c r="AE13" s="39" t="s">
        <v>125</v>
      </c>
      <c r="AF13" s="35">
        <v>5</v>
      </c>
      <c r="AG13" s="10" t="s">
        <v>126</v>
      </c>
      <c r="AH13" s="35"/>
      <c r="AI13" s="31">
        <f>FAR[[#This Row],[EUL]]</f>
        <v>6</v>
      </c>
      <c r="AJ13" s="31">
        <f>FAR[[#This Row],[Opening RUL 30 June 2026]]-1</f>
        <v>0</v>
      </c>
      <c r="AK13" s="10" t="s">
        <v>127</v>
      </c>
      <c r="AL13" s="38">
        <v>0</v>
      </c>
      <c r="AM13" s="38">
        <v>9463</v>
      </c>
      <c r="AN13" s="13">
        <v>0</v>
      </c>
      <c r="AO13" s="13">
        <v>0</v>
      </c>
      <c r="AP13" s="13">
        <v>0</v>
      </c>
      <c r="AQ13" s="38">
        <v>9463</v>
      </c>
      <c r="AR13" s="38">
        <v>0</v>
      </c>
      <c r="AS13" s="38"/>
      <c r="AT13" s="38"/>
      <c r="AU13" s="38"/>
      <c r="AV13" s="13">
        <v>0</v>
      </c>
      <c r="AW13" s="38"/>
      <c r="AX13" s="13" t="s">
        <v>114</v>
      </c>
      <c r="AY13" s="37"/>
      <c r="AZ13" s="38"/>
      <c r="BA13" s="13">
        <v>-637.7802739726028</v>
      </c>
      <c r="BB13" s="38"/>
      <c r="BC13" s="13" t="s">
        <v>116</v>
      </c>
      <c r="BD13" s="38"/>
      <c r="BE13" s="13">
        <f>FAR[[#This Row],[Accumulated depreciation (Opening balance)]]+FAR[[#This Row],[Depreciation YTD]]</f>
        <v>-2560.44</v>
      </c>
      <c r="BF13" s="38"/>
      <c r="BG13" s="38"/>
      <c r="BH13" s="38"/>
      <c r="BI13" s="38"/>
      <c r="BJ13" s="38"/>
      <c r="BK13" s="29">
        <f>FAR[[#This Row],[Cost Price (closing balance)]]+FAR[[#This Row],[Accumulated depreciation (Closing balance)]]</f>
        <v>0</v>
      </c>
      <c r="BL13" s="38">
        <f>FAR[[#This Row],[Accumulated depreciation (Opening balance)]]</f>
        <v>-2418.1933333333336</v>
      </c>
      <c r="BM13" s="38">
        <f>FAR[[#This Row],[Depreciation YTD]]</f>
        <v>-142.24666666666644</v>
      </c>
      <c r="BN13" s="38">
        <f>FAR[[#This Row],[Accumulated depreciation (Closing balance)]]</f>
        <v>-2560.44</v>
      </c>
      <c r="BO13" s="34"/>
      <c r="BP13" s="34"/>
      <c r="BQ13" s="34"/>
      <c r="BR13" s="34"/>
      <c r="BS13" t="e">
        <v>#N/A</v>
      </c>
    </row>
    <row r="14" spans="1:71" s="111" customFormat="1">
      <c r="A14" s="34">
        <v>0</v>
      </c>
      <c r="B14" s="35"/>
      <c r="C14" s="9" t="s">
        <v>54</v>
      </c>
      <c r="D14" s="10" t="s">
        <v>1</v>
      </c>
      <c r="E14" s="9" t="s">
        <v>115</v>
      </c>
      <c r="F14" s="36" t="s">
        <v>99</v>
      </c>
      <c r="G14" s="9" t="s">
        <v>100</v>
      </c>
      <c r="H14" s="34" t="s">
        <v>107</v>
      </c>
      <c r="I14" s="9" t="s">
        <v>100</v>
      </c>
      <c r="J14" s="36" t="s">
        <v>101</v>
      </c>
      <c r="K14" s="34"/>
      <c r="L14" s="34" t="s">
        <v>108</v>
      </c>
      <c r="M14" s="34" t="s">
        <v>108</v>
      </c>
      <c r="N14" s="9" t="s">
        <v>100</v>
      </c>
      <c r="O14" s="34" t="s">
        <v>107</v>
      </c>
      <c r="P14" s="9" t="s">
        <v>100</v>
      </c>
      <c r="Q14" s="34" t="s">
        <v>107</v>
      </c>
      <c r="R14" s="34" t="s">
        <v>112</v>
      </c>
      <c r="S14" s="10" t="s">
        <v>119</v>
      </c>
      <c r="T14" s="10" t="s">
        <v>130</v>
      </c>
      <c r="U14" s="10" t="s">
        <v>120</v>
      </c>
      <c r="V14" s="10" t="s">
        <v>101</v>
      </c>
      <c r="W14" s="10" t="s">
        <v>121</v>
      </c>
      <c r="X14" s="10" t="s">
        <v>122</v>
      </c>
      <c r="Y14" s="10" t="s">
        <v>123</v>
      </c>
      <c r="Z14" s="37">
        <v>1</v>
      </c>
      <c r="AA14" s="33">
        <v>43889</v>
      </c>
      <c r="AB14" s="9" t="s">
        <v>114</v>
      </c>
      <c r="AC14" s="9" t="s">
        <v>124</v>
      </c>
      <c r="AD14" s="15">
        <v>44012</v>
      </c>
      <c r="AE14" s="39" t="s">
        <v>125</v>
      </c>
      <c r="AF14" s="35">
        <v>5</v>
      </c>
      <c r="AG14" s="10" t="s">
        <v>126</v>
      </c>
      <c r="AH14" s="35"/>
      <c r="AI14" s="31">
        <f>FAR[[#This Row],[EUL]]</f>
        <v>6</v>
      </c>
      <c r="AJ14" s="31">
        <f>FAR[[#This Row],[Opening RUL 30 June 2026]]-1</f>
        <v>0</v>
      </c>
      <c r="AK14" s="10" t="s">
        <v>127</v>
      </c>
      <c r="AL14" s="38">
        <v>0</v>
      </c>
      <c r="AM14" s="38">
        <v>9463</v>
      </c>
      <c r="AN14" s="13">
        <v>0</v>
      </c>
      <c r="AO14" s="13">
        <v>0</v>
      </c>
      <c r="AP14" s="13">
        <v>0</v>
      </c>
      <c r="AQ14" s="38">
        <v>9463</v>
      </c>
      <c r="AR14" s="38">
        <v>0</v>
      </c>
      <c r="AS14" s="38"/>
      <c r="AT14" s="38"/>
      <c r="AU14" s="38"/>
      <c r="AV14" s="13">
        <v>0</v>
      </c>
      <c r="AW14" s="38"/>
      <c r="AX14" s="13" t="s">
        <v>114</v>
      </c>
      <c r="AY14" s="37"/>
      <c r="AZ14" s="38"/>
      <c r="BA14" s="13">
        <v>-637.7802739726028</v>
      </c>
      <c r="BB14" s="38"/>
      <c r="BC14" s="13" t="s">
        <v>116</v>
      </c>
      <c r="BD14" s="38"/>
      <c r="BE14" s="13">
        <f>FAR[[#This Row],[Accumulated depreciation (Opening balance)]]+FAR[[#This Row],[Depreciation YTD]]</f>
        <v>-2560.44</v>
      </c>
      <c r="BF14" s="38"/>
      <c r="BG14" s="38"/>
      <c r="BH14" s="38"/>
      <c r="BI14" s="38"/>
      <c r="BJ14" s="38"/>
      <c r="BK14" s="29">
        <f>FAR[[#This Row],[Cost Price (closing balance)]]+FAR[[#This Row],[Accumulated depreciation (Closing balance)]]</f>
        <v>0</v>
      </c>
      <c r="BL14" s="38">
        <f>FAR[[#This Row],[Accumulated depreciation (Opening balance)]]</f>
        <v>-2418.1933333333336</v>
      </c>
      <c r="BM14" s="38">
        <f>FAR[[#This Row],[Depreciation YTD]]</f>
        <v>-142.24666666666644</v>
      </c>
      <c r="BN14" s="38">
        <f>FAR[[#This Row],[Accumulated depreciation (Closing balance)]]</f>
        <v>-2560.44</v>
      </c>
      <c r="BO14" s="34"/>
      <c r="BP14" s="34"/>
      <c r="BQ14" s="34"/>
      <c r="BR14" s="34"/>
      <c r="BS14" t="e">
        <v>#N/A</v>
      </c>
    </row>
    <row r="15" spans="1:71" s="111" customFormat="1">
      <c r="A15" s="34">
        <v>0</v>
      </c>
      <c r="B15" s="35"/>
      <c r="C15" s="9" t="s">
        <v>54</v>
      </c>
      <c r="D15" s="10" t="s">
        <v>1</v>
      </c>
      <c r="E15" s="9" t="s">
        <v>115</v>
      </c>
      <c r="F15" s="36" t="s">
        <v>99</v>
      </c>
      <c r="G15" s="9" t="s">
        <v>100</v>
      </c>
      <c r="H15" s="34" t="s">
        <v>107</v>
      </c>
      <c r="I15" s="9" t="s">
        <v>100</v>
      </c>
      <c r="J15" s="36" t="s">
        <v>101</v>
      </c>
      <c r="K15" s="34"/>
      <c r="L15" s="34" t="s">
        <v>108</v>
      </c>
      <c r="M15" s="34" t="s">
        <v>108</v>
      </c>
      <c r="N15" s="9" t="s">
        <v>100</v>
      </c>
      <c r="O15" s="34" t="s">
        <v>107</v>
      </c>
      <c r="P15" s="9" t="s">
        <v>100</v>
      </c>
      <c r="Q15" s="34" t="s">
        <v>107</v>
      </c>
      <c r="R15" s="34" t="s">
        <v>112</v>
      </c>
      <c r="S15" s="10" t="s">
        <v>119</v>
      </c>
      <c r="T15" s="10" t="s">
        <v>130</v>
      </c>
      <c r="U15" s="10" t="s">
        <v>120</v>
      </c>
      <c r="V15" s="10" t="s">
        <v>101</v>
      </c>
      <c r="W15" s="10" t="s">
        <v>121</v>
      </c>
      <c r="X15" s="10" t="s">
        <v>122</v>
      </c>
      <c r="Y15" s="10" t="s">
        <v>123</v>
      </c>
      <c r="Z15" s="37">
        <v>1</v>
      </c>
      <c r="AA15" s="33">
        <v>43889</v>
      </c>
      <c r="AB15" s="9" t="s">
        <v>114</v>
      </c>
      <c r="AC15" s="9" t="s">
        <v>124</v>
      </c>
      <c r="AD15" s="15">
        <v>44012</v>
      </c>
      <c r="AE15" s="39" t="s">
        <v>125</v>
      </c>
      <c r="AF15" s="35">
        <v>5</v>
      </c>
      <c r="AG15" s="10" t="s">
        <v>126</v>
      </c>
      <c r="AH15" s="35"/>
      <c r="AI15" s="31">
        <f>FAR[[#This Row],[EUL]]</f>
        <v>6</v>
      </c>
      <c r="AJ15" s="31">
        <f>FAR[[#This Row],[Opening RUL 30 June 2026]]-1</f>
        <v>0</v>
      </c>
      <c r="AK15" s="10" t="s">
        <v>127</v>
      </c>
      <c r="AL15" s="38">
        <v>0</v>
      </c>
      <c r="AM15" s="38">
        <v>9463</v>
      </c>
      <c r="AN15" s="13">
        <v>0</v>
      </c>
      <c r="AO15" s="13">
        <v>0</v>
      </c>
      <c r="AP15" s="13">
        <v>0</v>
      </c>
      <c r="AQ15" s="38">
        <v>9463</v>
      </c>
      <c r="AR15" s="38">
        <v>0</v>
      </c>
      <c r="AS15" s="38"/>
      <c r="AT15" s="38"/>
      <c r="AU15" s="38"/>
      <c r="AV15" s="13">
        <v>0</v>
      </c>
      <c r="AW15" s="38"/>
      <c r="AX15" s="13" t="s">
        <v>114</v>
      </c>
      <c r="AY15" s="37"/>
      <c r="AZ15" s="38"/>
      <c r="BA15" s="13">
        <v>-637.7802739726028</v>
      </c>
      <c r="BB15" s="38"/>
      <c r="BC15" s="13" t="s">
        <v>116</v>
      </c>
      <c r="BD15" s="38"/>
      <c r="BE15" s="13">
        <f>FAR[[#This Row],[Accumulated depreciation (Opening balance)]]+FAR[[#This Row],[Depreciation YTD]]</f>
        <v>-2046.3</v>
      </c>
      <c r="BF15" s="38"/>
      <c r="BG15" s="38"/>
      <c r="BH15" s="38"/>
      <c r="BI15" s="38"/>
      <c r="BJ15" s="38"/>
      <c r="BK15" s="29">
        <f>FAR[[#This Row],[Cost Price (closing balance)]]+FAR[[#This Row],[Accumulated depreciation (Closing balance)]]</f>
        <v>0</v>
      </c>
      <c r="BL15" s="38">
        <f>FAR[[#This Row],[Accumulated depreciation (Opening balance)]]</f>
        <v>-1932.6166666666668</v>
      </c>
      <c r="BM15" s="38">
        <f>FAR[[#This Row],[Depreciation YTD]]</f>
        <v>-113.68333333333317</v>
      </c>
      <c r="BN15" s="38">
        <f>FAR[[#This Row],[Accumulated depreciation (Closing balance)]]</f>
        <v>-2046.3</v>
      </c>
      <c r="BO15" s="34"/>
      <c r="BP15" s="34"/>
      <c r="BQ15" s="34"/>
      <c r="BR15" s="34"/>
      <c r="BS15" t="e">
        <v>#N/A</v>
      </c>
    </row>
    <row r="16" spans="1:71" s="111" customFormat="1">
      <c r="A16" s="34">
        <v>0</v>
      </c>
      <c r="B16" s="35"/>
      <c r="C16" s="9" t="s">
        <v>54</v>
      </c>
      <c r="D16" s="10" t="s">
        <v>1</v>
      </c>
      <c r="E16" s="9" t="s">
        <v>115</v>
      </c>
      <c r="F16" s="36" t="s">
        <v>99</v>
      </c>
      <c r="G16" s="9" t="s">
        <v>100</v>
      </c>
      <c r="H16" s="34" t="s">
        <v>107</v>
      </c>
      <c r="I16" s="9" t="s">
        <v>100</v>
      </c>
      <c r="J16" s="36" t="s">
        <v>101</v>
      </c>
      <c r="K16" s="34"/>
      <c r="L16" s="34" t="s">
        <v>108</v>
      </c>
      <c r="M16" s="34" t="s">
        <v>108</v>
      </c>
      <c r="N16" s="9" t="s">
        <v>100</v>
      </c>
      <c r="O16" s="34" t="s">
        <v>107</v>
      </c>
      <c r="P16" s="9" t="s">
        <v>100</v>
      </c>
      <c r="Q16" s="34" t="s">
        <v>107</v>
      </c>
      <c r="R16" s="34" t="s">
        <v>112</v>
      </c>
      <c r="S16" s="10" t="s">
        <v>119</v>
      </c>
      <c r="T16" s="10" t="s">
        <v>130</v>
      </c>
      <c r="U16" s="10" t="s">
        <v>120</v>
      </c>
      <c r="V16" s="10" t="s">
        <v>101</v>
      </c>
      <c r="W16" s="10" t="s">
        <v>121</v>
      </c>
      <c r="X16" s="10" t="s">
        <v>122</v>
      </c>
      <c r="Y16" s="10" t="s">
        <v>123</v>
      </c>
      <c r="Z16" s="37">
        <v>1</v>
      </c>
      <c r="AA16" s="33">
        <v>43889</v>
      </c>
      <c r="AB16" s="9" t="s">
        <v>114</v>
      </c>
      <c r="AC16" s="9" t="s">
        <v>124</v>
      </c>
      <c r="AD16" s="15">
        <v>44012</v>
      </c>
      <c r="AE16" s="39" t="s">
        <v>125</v>
      </c>
      <c r="AF16" s="35">
        <v>5</v>
      </c>
      <c r="AG16" s="10" t="s">
        <v>126</v>
      </c>
      <c r="AH16" s="35"/>
      <c r="AI16" s="31">
        <f>FAR[[#This Row],[EUL]]</f>
        <v>6</v>
      </c>
      <c r="AJ16" s="31">
        <f>FAR[[#This Row],[Opening RUL 30 June 2026]]-1</f>
        <v>0</v>
      </c>
      <c r="AK16" s="10" t="s">
        <v>127</v>
      </c>
      <c r="AL16" s="38">
        <v>0</v>
      </c>
      <c r="AM16" s="38">
        <v>9463</v>
      </c>
      <c r="AN16" s="13">
        <v>0</v>
      </c>
      <c r="AO16" s="13">
        <v>0</v>
      </c>
      <c r="AP16" s="13">
        <v>0</v>
      </c>
      <c r="AQ16" s="38">
        <v>9463</v>
      </c>
      <c r="AR16" s="38">
        <v>0</v>
      </c>
      <c r="AS16" s="38"/>
      <c r="AT16" s="38"/>
      <c r="AU16" s="38"/>
      <c r="AV16" s="13">
        <v>0</v>
      </c>
      <c r="AW16" s="38"/>
      <c r="AX16" s="13" t="s">
        <v>114</v>
      </c>
      <c r="AY16" s="37"/>
      <c r="AZ16" s="38"/>
      <c r="BA16" s="13">
        <v>-637.7802739726028</v>
      </c>
      <c r="BB16" s="38"/>
      <c r="BC16" s="13" t="s">
        <v>116</v>
      </c>
      <c r="BD16" s="38"/>
      <c r="BE16" s="13">
        <f>FAR[[#This Row],[Accumulated depreciation (Opening balance)]]+FAR[[#This Row],[Depreciation YTD]]</f>
        <v>-13393.86</v>
      </c>
      <c r="BF16" s="38"/>
      <c r="BG16" s="38"/>
      <c r="BH16" s="38"/>
      <c r="BI16" s="38"/>
      <c r="BJ16" s="38"/>
      <c r="BK16" s="29">
        <f>FAR[[#This Row],[Cost Price (closing balance)]]+FAR[[#This Row],[Accumulated depreciation (Closing balance)]]</f>
        <v>0</v>
      </c>
      <c r="BL16" s="38">
        <f>FAR[[#This Row],[Accumulated depreciation (Opening balance)]]</f>
        <v>-12649.756666666668</v>
      </c>
      <c r="BM16" s="38">
        <f>FAR[[#This Row],[Depreciation YTD]]</f>
        <v>-744.10333333333256</v>
      </c>
      <c r="BN16" s="38">
        <f>FAR[[#This Row],[Accumulated depreciation (Closing balance)]]</f>
        <v>-13393.86</v>
      </c>
      <c r="BO16" s="34"/>
      <c r="BP16" s="34"/>
      <c r="BQ16" s="34"/>
      <c r="BR16" s="34"/>
      <c r="BS16" t="e">
        <v>#N/A</v>
      </c>
    </row>
    <row r="17" spans="1:71" s="111" customFormat="1">
      <c r="A17" s="34">
        <v>0</v>
      </c>
      <c r="B17" s="35"/>
      <c r="C17" s="9" t="s">
        <v>54</v>
      </c>
      <c r="D17" s="10" t="s">
        <v>1</v>
      </c>
      <c r="E17" s="9" t="s">
        <v>115</v>
      </c>
      <c r="F17" s="36" t="s">
        <v>99</v>
      </c>
      <c r="G17" s="9" t="s">
        <v>100</v>
      </c>
      <c r="H17" s="34" t="s">
        <v>107</v>
      </c>
      <c r="I17" s="9" t="s">
        <v>100</v>
      </c>
      <c r="J17" s="36" t="s">
        <v>101</v>
      </c>
      <c r="K17" s="34"/>
      <c r="L17" s="34" t="s">
        <v>108</v>
      </c>
      <c r="M17" s="34" t="s">
        <v>108</v>
      </c>
      <c r="N17" s="9" t="s">
        <v>100</v>
      </c>
      <c r="O17" s="34" t="s">
        <v>107</v>
      </c>
      <c r="P17" s="9" t="s">
        <v>100</v>
      </c>
      <c r="Q17" s="34" t="s">
        <v>107</v>
      </c>
      <c r="R17" s="34" t="s">
        <v>112</v>
      </c>
      <c r="S17" s="10" t="s">
        <v>119</v>
      </c>
      <c r="T17" s="10" t="s">
        <v>130</v>
      </c>
      <c r="U17" s="10" t="s">
        <v>120</v>
      </c>
      <c r="V17" s="10" t="s">
        <v>101</v>
      </c>
      <c r="W17" s="10" t="s">
        <v>121</v>
      </c>
      <c r="X17" s="10" t="s">
        <v>122</v>
      </c>
      <c r="Y17" s="10" t="s">
        <v>123</v>
      </c>
      <c r="Z17" s="37">
        <v>1</v>
      </c>
      <c r="AA17" s="33">
        <v>43889</v>
      </c>
      <c r="AB17" s="9" t="s">
        <v>114</v>
      </c>
      <c r="AC17" s="9" t="s">
        <v>124</v>
      </c>
      <c r="AD17" s="15">
        <v>44012</v>
      </c>
      <c r="AE17" s="39" t="s">
        <v>125</v>
      </c>
      <c r="AF17" s="35">
        <v>5</v>
      </c>
      <c r="AG17" s="10" t="s">
        <v>126</v>
      </c>
      <c r="AH17" s="35"/>
      <c r="AI17" s="31">
        <f>FAR[[#This Row],[EUL]]</f>
        <v>6</v>
      </c>
      <c r="AJ17" s="31">
        <f>FAR[[#This Row],[Opening RUL 30 June 2026]]-1</f>
        <v>0</v>
      </c>
      <c r="AK17" s="10" t="s">
        <v>127</v>
      </c>
      <c r="AL17" s="38">
        <v>0</v>
      </c>
      <c r="AM17" s="38">
        <v>9463</v>
      </c>
      <c r="AN17" s="13">
        <v>0</v>
      </c>
      <c r="AO17" s="13">
        <v>0</v>
      </c>
      <c r="AP17" s="13">
        <v>0</v>
      </c>
      <c r="AQ17" s="38">
        <v>9463</v>
      </c>
      <c r="AR17" s="38">
        <v>0</v>
      </c>
      <c r="AS17" s="38"/>
      <c r="AT17" s="38"/>
      <c r="AU17" s="38"/>
      <c r="AV17" s="13">
        <v>0</v>
      </c>
      <c r="AW17" s="38"/>
      <c r="AX17" s="13" t="s">
        <v>114</v>
      </c>
      <c r="AY17" s="37"/>
      <c r="AZ17" s="38"/>
      <c r="BA17" s="13">
        <v>-637.7802739726028</v>
      </c>
      <c r="BB17" s="38"/>
      <c r="BC17" s="13" t="s">
        <v>116</v>
      </c>
      <c r="BD17" s="38"/>
      <c r="BE17" s="13">
        <f>FAR[[#This Row],[Accumulated depreciation (Opening balance)]]+FAR[[#This Row],[Depreciation YTD]]</f>
        <v>-2360.94</v>
      </c>
      <c r="BF17" s="38"/>
      <c r="BG17" s="38"/>
      <c r="BH17" s="38"/>
      <c r="BI17" s="38"/>
      <c r="BJ17" s="38"/>
      <c r="BK17" s="29">
        <f>FAR[[#This Row],[Cost Price (closing balance)]]+FAR[[#This Row],[Accumulated depreciation (Closing balance)]]</f>
        <v>0</v>
      </c>
      <c r="BL17" s="38">
        <f>FAR[[#This Row],[Accumulated depreciation (Opening balance)]]</f>
        <v>-2229.7766666666666</v>
      </c>
      <c r="BM17" s="38">
        <f>FAR[[#This Row],[Depreciation YTD]]</f>
        <v>-131.16333333333341</v>
      </c>
      <c r="BN17" s="38">
        <f>FAR[[#This Row],[Accumulated depreciation (Closing balance)]]</f>
        <v>-2360.94</v>
      </c>
      <c r="BO17" s="34"/>
      <c r="BP17" s="34"/>
      <c r="BQ17" s="34"/>
      <c r="BR17" s="34"/>
      <c r="BS17" t="e">
        <v>#N/A</v>
      </c>
    </row>
    <row r="18" spans="1:71" s="111" customFormat="1">
      <c r="A18" s="34">
        <v>0</v>
      </c>
      <c r="B18" s="35"/>
      <c r="C18" s="9" t="s">
        <v>54</v>
      </c>
      <c r="D18" s="10" t="s">
        <v>1</v>
      </c>
      <c r="E18" s="9" t="s">
        <v>115</v>
      </c>
      <c r="F18" s="36" t="s">
        <v>99</v>
      </c>
      <c r="G18" s="9" t="s">
        <v>100</v>
      </c>
      <c r="H18" s="34" t="s">
        <v>107</v>
      </c>
      <c r="I18" s="9" t="s">
        <v>100</v>
      </c>
      <c r="J18" s="36" t="s">
        <v>101</v>
      </c>
      <c r="K18" s="34"/>
      <c r="L18" s="34" t="s">
        <v>108</v>
      </c>
      <c r="M18" s="34" t="s">
        <v>108</v>
      </c>
      <c r="N18" s="9" t="s">
        <v>100</v>
      </c>
      <c r="O18" s="34" t="s">
        <v>107</v>
      </c>
      <c r="P18" s="9" t="s">
        <v>100</v>
      </c>
      <c r="Q18" s="34" t="s">
        <v>107</v>
      </c>
      <c r="R18" s="34" t="s">
        <v>112</v>
      </c>
      <c r="S18" s="10" t="s">
        <v>119</v>
      </c>
      <c r="T18" s="10" t="s">
        <v>130</v>
      </c>
      <c r="U18" s="10" t="s">
        <v>120</v>
      </c>
      <c r="V18" s="10" t="s">
        <v>101</v>
      </c>
      <c r="W18" s="10" t="s">
        <v>121</v>
      </c>
      <c r="X18" s="10" t="s">
        <v>122</v>
      </c>
      <c r="Y18" s="10" t="s">
        <v>123</v>
      </c>
      <c r="Z18" s="37">
        <v>1</v>
      </c>
      <c r="AA18" s="33">
        <v>43889</v>
      </c>
      <c r="AB18" s="9" t="s">
        <v>114</v>
      </c>
      <c r="AC18" s="9" t="s">
        <v>124</v>
      </c>
      <c r="AD18" s="15">
        <v>44012</v>
      </c>
      <c r="AE18" s="39" t="s">
        <v>125</v>
      </c>
      <c r="AF18" s="35">
        <v>5</v>
      </c>
      <c r="AG18" s="10" t="s">
        <v>126</v>
      </c>
      <c r="AH18" s="35"/>
      <c r="AI18" s="31">
        <f>FAR[[#This Row],[EUL]]</f>
        <v>6</v>
      </c>
      <c r="AJ18" s="31">
        <f>FAR[[#This Row],[Opening RUL 30 June 2026]]-1</f>
        <v>0</v>
      </c>
      <c r="AK18" s="10" t="s">
        <v>127</v>
      </c>
      <c r="AL18" s="38">
        <v>0</v>
      </c>
      <c r="AM18" s="38">
        <v>9463</v>
      </c>
      <c r="AN18" s="13">
        <v>0</v>
      </c>
      <c r="AO18" s="13">
        <v>0</v>
      </c>
      <c r="AP18" s="13">
        <v>0</v>
      </c>
      <c r="AQ18" s="38">
        <v>9463</v>
      </c>
      <c r="AR18" s="38">
        <v>0</v>
      </c>
      <c r="AS18" s="38"/>
      <c r="AT18" s="38"/>
      <c r="AU18" s="38"/>
      <c r="AV18" s="13">
        <v>0</v>
      </c>
      <c r="AW18" s="38"/>
      <c r="AX18" s="13" t="s">
        <v>114</v>
      </c>
      <c r="AY18" s="37"/>
      <c r="AZ18" s="38"/>
      <c r="BA18" s="13">
        <v>-637.7802739726028</v>
      </c>
      <c r="BB18" s="38"/>
      <c r="BC18" s="13" t="s">
        <v>116</v>
      </c>
      <c r="BD18" s="38"/>
      <c r="BE18" s="13">
        <f>FAR[[#This Row],[Accumulated depreciation (Opening balance)]]+FAR[[#This Row],[Depreciation YTD]]</f>
        <v>-3034.68</v>
      </c>
      <c r="BF18" s="38"/>
      <c r="BG18" s="38"/>
      <c r="BH18" s="38"/>
      <c r="BI18" s="38"/>
      <c r="BJ18" s="38"/>
      <c r="BK18" s="29">
        <f>FAR[[#This Row],[Cost Price (closing balance)]]+FAR[[#This Row],[Accumulated depreciation (Closing balance)]]</f>
        <v>0</v>
      </c>
      <c r="BL18" s="38">
        <f>FAR[[#This Row],[Accumulated depreciation (Opening balance)]]</f>
        <v>-2866.0866666666661</v>
      </c>
      <c r="BM18" s="38">
        <f>FAR[[#This Row],[Depreciation YTD]]</f>
        <v>-168.5933333333337</v>
      </c>
      <c r="BN18" s="38">
        <f>FAR[[#This Row],[Accumulated depreciation (Closing balance)]]</f>
        <v>-3034.68</v>
      </c>
      <c r="BO18" s="34"/>
      <c r="BP18" s="34"/>
      <c r="BQ18" s="34"/>
      <c r="BR18" s="34"/>
      <c r="BS18" t="e">
        <v>#N/A</v>
      </c>
    </row>
    <row r="19" spans="1:71" s="111" customFormat="1">
      <c r="A19" s="34">
        <v>0</v>
      </c>
      <c r="B19" s="35"/>
      <c r="C19" s="9" t="s">
        <v>54</v>
      </c>
      <c r="D19" s="10" t="s">
        <v>1</v>
      </c>
      <c r="E19" s="9" t="s">
        <v>115</v>
      </c>
      <c r="F19" s="36" t="s">
        <v>99</v>
      </c>
      <c r="G19" s="9" t="s">
        <v>100</v>
      </c>
      <c r="H19" s="34" t="s">
        <v>107</v>
      </c>
      <c r="I19" s="9" t="s">
        <v>100</v>
      </c>
      <c r="J19" s="36" t="s">
        <v>101</v>
      </c>
      <c r="K19" s="34"/>
      <c r="L19" s="34" t="s">
        <v>108</v>
      </c>
      <c r="M19" s="34" t="s">
        <v>108</v>
      </c>
      <c r="N19" s="9" t="s">
        <v>100</v>
      </c>
      <c r="O19" s="34" t="s">
        <v>107</v>
      </c>
      <c r="P19" s="9" t="s">
        <v>100</v>
      </c>
      <c r="Q19" s="34" t="s">
        <v>107</v>
      </c>
      <c r="R19" s="34" t="s">
        <v>113</v>
      </c>
      <c r="S19" s="10" t="s">
        <v>119</v>
      </c>
      <c r="T19" s="10" t="s">
        <v>130</v>
      </c>
      <c r="U19" s="10" t="s">
        <v>120</v>
      </c>
      <c r="V19" s="10" t="s">
        <v>101</v>
      </c>
      <c r="W19" s="10" t="s">
        <v>121</v>
      </c>
      <c r="X19" s="10" t="s">
        <v>122</v>
      </c>
      <c r="Y19" s="10" t="s">
        <v>123</v>
      </c>
      <c r="Z19" s="37">
        <v>1</v>
      </c>
      <c r="AA19" s="33">
        <v>43889</v>
      </c>
      <c r="AB19" s="9" t="s">
        <v>114</v>
      </c>
      <c r="AC19" s="9" t="s">
        <v>124</v>
      </c>
      <c r="AD19" s="15">
        <v>44012</v>
      </c>
      <c r="AE19" s="39" t="s">
        <v>125</v>
      </c>
      <c r="AF19" s="35">
        <v>5</v>
      </c>
      <c r="AG19" s="10" t="s">
        <v>126</v>
      </c>
      <c r="AH19" s="35"/>
      <c r="AI19" s="31">
        <f>FAR[[#This Row],[EUL]]</f>
        <v>6</v>
      </c>
      <c r="AJ19" s="31">
        <f>FAR[[#This Row],[Opening RUL 30 June 2026]]-1</f>
        <v>0</v>
      </c>
      <c r="AK19" s="10" t="s">
        <v>127</v>
      </c>
      <c r="AL19" s="38">
        <v>0</v>
      </c>
      <c r="AM19" s="38">
        <v>1265</v>
      </c>
      <c r="AN19" s="13">
        <v>0</v>
      </c>
      <c r="AO19" s="13">
        <v>0</v>
      </c>
      <c r="AP19" s="13">
        <v>0</v>
      </c>
      <c r="AQ19" s="38">
        <v>1265</v>
      </c>
      <c r="AR19" s="38">
        <v>0</v>
      </c>
      <c r="AS19" s="38"/>
      <c r="AT19" s="38"/>
      <c r="AU19" s="38"/>
      <c r="AV19" s="13">
        <v>0</v>
      </c>
      <c r="AW19" s="38"/>
      <c r="AX19" s="13" t="s">
        <v>114</v>
      </c>
      <c r="AY19" s="37"/>
      <c r="AZ19" s="38"/>
      <c r="BA19" s="13">
        <v>-85.257534246575347</v>
      </c>
      <c r="BB19" s="38"/>
      <c r="BC19" s="13" t="s">
        <v>116</v>
      </c>
      <c r="BD19" s="38"/>
      <c r="BE19" s="13">
        <f>FAR[[#This Row],[Accumulated depreciation (Opening balance)]]+FAR[[#This Row],[Depreciation YTD]]</f>
        <v>-2273.16</v>
      </c>
      <c r="BF19" s="38"/>
      <c r="BG19" s="38"/>
      <c r="BH19" s="38"/>
      <c r="BI19" s="38"/>
      <c r="BJ19" s="38"/>
      <c r="BK19" s="29">
        <f>FAR[[#This Row],[Cost Price (closing balance)]]+FAR[[#This Row],[Accumulated depreciation (Closing balance)]]</f>
        <v>0</v>
      </c>
      <c r="BL19" s="38">
        <f>FAR[[#This Row],[Accumulated depreciation (Opening balance)]]</f>
        <v>-2146.873333333333</v>
      </c>
      <c r="BM19" s="38">
        <f>FAR[[#This Row],[Depreciation YTD]]</f>
        <v>-126.28666666666686</v>
      </c>
      <c r="BN19" s="38">
        <f>FAR[[#This Row],[Accumulated depreciation (Closing balance)]]</f>
        <v>-2273.16</v>
      </c>
      <c r="BO19" s="34"/>
      <c r="BP19" s="34"/>
      <c r="BQ19" s="34"/>
      <c r="BR19" s="34"/>
      <c r="BS19" t="e">
        <v>#N/A</v>
      </c>
    </row>
    <row r="20" spans="1:71" s="111" customFormat="1">
      <c r="A20" s="34">
        <v>0</v>
      </c>
      <c r="B20" s="35"/>
      <c r="C20" s="9" t="s">
        <v>54</v>
      </c>
      <c r="D20" s="10" t="s">
        <v>1</v>
      </c>
      <c r="E20" s="9" t="s">
        <v>115</v>
      </c>
      <c r="F20" s="36" t="s">
        <v>99</v>
      </c>
      <c r="G20" s="9" t="s">
        <v>100</v>
      </c>
      <c r="H20" s="34" t="s">
        <v>107</v>
      </c>
      <c r="I20" s="9" t="s">
        <v>100</v>
      </c>
      <c r="J20" s="36" t="s">
        <v>101</v>
      </c>
      <c r="K20" s="34"/>
      <c r="L20" s="34" t="s">
        <v>108</v>
      </c>
      <c r="M20" s="34" t="s">
        <v>108</v>
      </c>
      <c r="N20" s="9" t="s">
        <v>100</v>
      </c>
      <c r="O20" s="34" t="s">
        <v>107</v>
      </c>
      <c r="P20" s="9" t="s">
        <v>100</v>
      </c>
      <c r="Q20" s="34" t="s">
        <v>107</v>
      </c>
      <c r="R20" s="34" t="s">
        <v>113</v>
      </c>
      <c r="S20" s="10" t="s">
        <v>119</v>
      </c>
      <c r="T20" s="10" t="s">
        <v>130</v>
      </c>
      <c r="U20" s="10" t="s">
        <v>120</v>
      </c>
      <c r="V20" s="10" t="s">
        <v>101</v>
      </c>
      <c r="W20" s="10" t="s">
        <v>121</v>
      </c>
      <c r="X20" s="10" t="s">
        <v>122</v>
      </c>
      <c r="Y20" s="10" t="s">
        <v>123</v>
      </c>
      <c r="Z20" s="37">
        <v>1</v>
      </c>
      <c r="AA20" s="33">
        <v>43889</v>
      </c>
      <c r="AB20" s="9" t="s">
        <v>114</v>
      </c>
      <c r="AC20" s="9" t="s">
        <v>124</v>
      </c>
      <c r="AD20" s="15">
        <v>44012</v>
      </c>
      <c r="AE20" s="39" t="s">
        <v>125</v>
      </c>
      <c r="AF20" s="35">
        <v>5</v>
      </c>
      <c r="AG20" s="10" t="s">
        <v>126</v>
      </c>
      <c r="AH20" s="35"/>
      <c r="AI20" s="31">
        <f>FAR[[#This Row],[EUL]]</f>
        <v>6</v>
      </c>
      <c r="AJ20" s="31">
        <f>FAR[[#This Row],[Opening RUL 30 June 2026]]-1</f>
        <v>0</v>
      </c>
      <c r="AK20" s="10" t="s">
        <v>127</v>
      </c>
      <c r="AL20" s="38">
        <v>0</v>
      </c>
      <c r="AM20" s="38">
        <v>1265</v>
      </c>
      <c r="AN20" s="13">
        <v>0</v>
      </c>
      <c r="AO20" s="13">
        <v>0</v>
      </c>
      <c r="AP20" s="13">
        <v>0</v>
      </c>
      <c r="AQ20" s="38">
        <v>1265</v>
      </c>
      <c r="AR20" s="38">
        <v>0</v>
      </c>
      <c r="AS20" s="38"/>
      <c r="AT20" s="38"/>
      <c r="AU20" s="38"/>
      <c r="AV20" s="13">
        <v>0</v>
      </c>
      <c r="AW20" s="38"/>
      <c r="AX20" s="13" t="s">
        <v>114</v>
      </c>
      <c r="AY20" s="37"/>
      <c r="AZ20" s="38"/>
      <c r="BA20" s="13">
        <v>-85.257534246575347</v>
      </c>
      <c r="BB20" s="38"/>
      <c r="BC20" s="13" t="s">
        <v>116</v>
      </c>
      <c r="BD20" s="38"/>
      <c r="BE20" s="13">
        <f>FAR[[#This Row],[Accumulated depreciation (Opening balance)]]+FAR[[#This Row],[Depreciation YTD]]</f>
        <v>-2273.16</v>
      </c>
      <c r="BF20" s="38"/>
      <c r="BG20" s="38"/>
      <c r="BH20" s="38"/>
      <c r="BI20" s="38"/>
      <c r="BJ20" s="38"/>
      <c r="BK20" s="29">
        <f>FAR[[#This Row],[Cost Price (closing balance)]]+FAR[[#This Row],[Accumulated depreciation (Closing balance)]]</f>
        <v>0</v>
      </c>
      <c r="BL20" s="38">
        <f>FAR[[#This Row],[Accumulated depreciation (Opening balance)]]</f>
        <v>-2146.873333333333</v>
      </c>
      <c r="BM20" s="38">
        <f>FAR[[#This Row],[Depreciation YTD]]</f>
        <v>-126.28666666666686</v>
      </c>
      <c r="BN20" s="38">
        <f>FAR[[#This Row],[Accumulated depreciation (Closing balance)]]</f>
        <v>-2273.16</v>
      </c>
      <c r="BO20" s="34"/>
      <c r="BP20" s="34"/>
      <c r="BQ20" s="34"/>
      <c r="BR20" s="34"/>
      <c r="BS20" t="e">
        <v>#N/A</v>
      </c>
    </row>
    <row r="21" spans="1:71" s="111" customFormat="1">
      <c r="A21" s="34">
        <v>0</v>
      </c>
      <c r="B21" s="35"/>
      <c r="C21" s="9" t="s">
        <v>54</v>
      </c>
      <c r="D21" s="10" t="s">
        <v>1</v>
      </c>
      <c r="E21" s="9" t="s">
        <v>115</v>
      </c>
      <c r="F21" s="36" t="s">
        <v>99</v>
      </c>
      <c r="G21" s="9" t="s">
        <v>100</v>
      </c>
      <c r="H21" s="34" t="s">
        <v>107</v>
      </c>
      <c r="I21" s="9" t="s">
        <v>100</v>
      </c>
      <c r="J21" s="36" t="s">
        <v>101</v>
      </c>
      <c r="K21" s="34"/>
      <c r="L21" s="34" t="s">
        <v>108</v>
      </c>
      <c r="M21" s="34" t="s">
        <v>108</v>
      </c>
      <c r="N21" s="9" t="s">
        <v>100</v>
      </c>
      <c r="O21" s="34" t="s">
        <v>107</v>
      </c>
      <c r="P21" s="9" t="s">
        <v>100</v>
      </c>
      <c r="Q21" s="34" t="s">
        <v>107</v>
      </c>
      <c r="R21" s="34" t="s">
        <v>113</v>
      </c>
      <c r="S21" s="10" t="s">
        <v>119</v>
      </c>
      <c r="T21" s="10" t="s">
        <v>130</v>
      </c>
      <c r="U21" s="10" t="s">
        <v>120</v>
      </c>
      <c r="V21" s="10" t="s">
        <v>101</v>
      </c>
      <c r="W21" s="10" t="s">
        <v>121</v>
      </c>
      <c r="X21" s="10" t="s">
        <v>122</v>
      </c>
      <c r="Y21" s="10" t="s">
        <v>123</v>
      </c>
      <c r="Z21" s="37">
        <v>1</v>
      </c>
      <c r="AA21" s="33">
        <v>43889</v>
      </c>
      <c r="AB21" s="9" t="s">
        <v>114</v>
      </c>
      <c r="AC21" s="9" t="s">
        <v>124</v>
      </c>
      <c r="AD21" s="15">
        <v>44012</v>
      </c>
      <c r="AE21" s="39" t="s">
        <v>125</v>
      </c>
      <c r="AF21" s="35">
        <v>5</v>
      </c>
      <c r="AG21" s="10" t="s">
        <v>126</v>
      </c>
      <c r="AH21" s="35"/>
      <c r="AI21" s="31">
        <f>FAR[[#This Row],[EUL]]</f>
        <v>6</v>
      </c>
      <c r="AJ21" s="31">
        <f>FAR[[#This Row],[Opening RUL 30 June 2026]]-1</f>
        <v>0</v>
      </c>
      <c r="AK21" s="10" t="s">
        <v>127</v>
      </c>
      <c r="AL21" s="38">
        <v>0</v>
      </c>
      <c r="AM21" s="38">
        <v>1265</v>
      </c>
      <c r="AN21" s="13">
        <v>0</v>
      </c>
      <c r="AO21" s="13">
        <v>0</v>
      </c>
      <c r="AP21" s="13">
        <v>0</v>
      </c>
      <c r="AQ21" s="38">
        <v>1265</v>
      </c>
      <c r="AR21" s="38">
        <v>0</v>
      </c>
      <c r="AS21" s="38"/>
      <c r="AT21" s="38"/>
      <c r="AU21" s="38"/>
      <c r="AV21" s="13">
        <v>0</v>
      </c>
      <c r="AW21" s="38"/>
      <c r="AX21" s="13" t="s">
        <v>114</v>
      </c>
      <c r="AY21" s="37"/>
      <c r="AZ21" s="38"/>
      <c r="BA21" s="13">
        <v>-85.257534246575347</v>
      </c>
      <c r="BB21" s="38"/>
      <c r="BC21" s="13" t="s">
        <v>116</v>
      </c>
      <c r="BD21" s="38"/>
      <c r="BE21" s="13">
        <f>FAR[[#This Row],[Accumulated depreciation (Opening balance)]]+FAR[[#This Row],[Depreciation YTD]]</f>
        <v>-13393.86</v>
      </c>
      <c r="BF21" s="38"/>
      <c r="BG21" s="38"/>
      <c r="BH21" s="38"/>
      <c r="BI21" s="38"/>
      <c r="BJ21" s="38"/>
      <c r="BK21" s="29">
        <f>FAR[[#This Row],[Cost Price (closing balance)]]+FAR[[#This Row],[Accumulated depreciation (Closing balance)]]</f>
        <v>0</v>
      </c>
      <c r="BL21" s="38">
        <f>FAR[[#This Row],[Accumulated depreciation (Opening balance)]]</f>
        <v>-12649.756666666668</v>
      </c>
      <c r="BM21" s="38">
        <f>FAR[[#This Row],[Depreciation YTD]]</f>
        <v>-744.10333333333256</v>
      </c>
      <c r="BN21" s="38">
        <f>FAR[[#This Row],[Accumulated depreciation (Closing balance)]]</f>
        <v>-13393.86</v>
      </c>
      <c r="BO21" s="34"/>
      <c r="BP21" s="34"/>
      <c r="BQ21" s="34"/>
      <c r="BR21" s="34"/>
      <c r="BS21" t="e">
        <v>#N/A</v>
      </c>
    </row>
    <row r="22" spans="1:71" s="111" customFormat="1">
      <c r="A22" s="34">
        <v>0</v>
      </c>
      <c r="B22" s="35"/>
      <c r="C22" s="9" t="s">
        <v>54</v>
      </c>
      <c r="D22" s="10" t="s">
        <v>1</v>
      </c>
      <c r="E22" s="9" t="s">
        <v>115</v>
      </c>
      <c r="F22" s="36" t="s">
        <v>99</v>
      </c>
      <c r="G22" s="9" t="s">
        <v>100</v>
      </c>
      <c r="H22" s="34" t="s">
        <v>107</v>
      </c>
      <c r="I22" s="9" t="s">
        <v>100</v>
      </c>
      <c r="J22" s="36" t="s">
        <v>101</v>
      </c>
      <c r="K22" s="34"/>
      <c r="L22" s="34" t="s">
        <v>108</v>
      </c>
      <c r="M22" s="34" t="s">
        <v>108</v>
      </c>
      <c r="N22" s="9" t="s">
        <v>100</v>
      </c>
      <c r="O22" s="34" t="s">
        <v>107</v>
      </c>
      <c r="P22" s="9" t="s">
        <v>100</v>
      </c>
      <c r="Q22" s="34" t="s">
        <v>107</v>
      </c>
      <c r="R22" s="34" t="s">
        <v>113</v>
      </c>
      <c r="S22" s="10" t="s">
        <v>119</v>
      </c>
      <c r="T22" s="10" t="s">
        <v>130</v>
      </c>
      <c r="U22" s="10" t="s">
        <v>120</v>
      </c>
      <c r="V22" s="10" t="s">
        <v>101</v>
      </c>
      <c r="W22" s="10" t="s">
        <v>121</v>
      </c>
      <c r="X22" s="10" t="s">
        <v>122</v>
      </c>
      <c r="Y22" s="10" t="s">
        <v>123</v>
      </c>
      <c r="Z22" s="37">
        <v>1</v>
      </c>
      <c r="AA22" s="33">
        <v>43889</v>
      </c>
      <c r="AB22" s="9" t="s">
        <v>114</v>
      </c>
      <c r="AC22" s="9" t="s">
        <v>124</v>
      </c>
      <c r="AD22" s="15">
        <v>44012</v>
      </c>
      <c r="AE22" s="39" t="s">
        <v>125</v>
      </c>
      <c r="AF22" s="35">
        <v>5</v>
      </c>
      <c r="AG22" s="10" t="s">
        <v>126</v>
      </c>
      <c r="AH22" s="35"/>
      <c r="AI22" s="31">
        <f>FAR[[#This Row],[EUL]]</f>
        <v>6</v>
      </c>
      <c r="AJ22" s="31">
        <f>FAR[[#This Row],[Opening RUL 30 June 2026]]-1</f>
        <v>0</v>
      </c>
      <c r="AK22" s="10" t="s">
        <v>127</v>
      </c>
      <c r="AL22" s="38">
        <v>0</v>
      </c>
      <c r="AM22" s="38">
        <v>1265</v>
      </c>
      <c r="AN22" s="13">
        <v>0</v>
      </c>
      <c r="AO22" s="13">
        <v>0</v>
      </c>
      <c r="AP22" s="13">
        <v>0</v>
      </c>
      <c r="AQ22" s="38">
        <v>1265</v>
      </c>
      <c r="AR22" s="38">
        <v>0</v>
      </c>
      <c r="AS22" s="38"/>
      <c r="AT22" s="38"/>
      <c r="AU22" s="38"/>
      <c r="AV22" s="13">
        <v>0</v>
      </c>
      <c r="AW22" s="38"/>
      <c r="AX22" s="13" t="s">
        <v>114</v>
      </c>
      <c r="AY22" s="37"/>
      <c r="AZ22" s="38"/>
      <c r="BA22" s="13">
        <v>-85.257534246575347</v>
      </c>
      <c r="BB22" s="38"/>
      <c r="BC22" s="13" t="s">
        <v>116</v>
      </c>
      <c r="BD22" s="38"/>
      <c r="BE22" s="13">
        <f>FAR[[#This Row],[Accumulated depreciation (Opening balance)]]+FAR[[#This Row],[Depreciation YTD]]</f>
        <v>-3780.24</v>
      </c>
      <c r="BF22" s="38"/>
      <c r="BG22" s="38"/>
      <c r="BH22" s="38"/>
      <c r="BI22" s="38"/>
      <c r="BJ22" s="38"/>
      <c r="BK22" s="29">
        <f>FAR[[#This Row],[Cost Price (closing balance)]]+FAR[[#This Row],[Accumulated depreciation (Closing balance)]]</f>
        <v>0</v>
      </c>
      <c r="BL22" s="38">
        <f>FAR[[#This Row],[Accumulated depreciation (Opening balance)]]</f>
        <v>-3570.2266666666665</v>
      </c>
      <c r="BM22" s="38">
        <f>FAR[[#This Row],[Depreciation YTD]]</f>
        <v>-210.01333333333332</v>
      </c>
      <c r="BN22" s="38">
        <f>FAR[[#This Row],[Accumulated depreciation (Closing balance)]]</f>
        <v>-3780.24</v>
      </c>
      <c r="BO22" s="34"/>
      <c r="BP22" s="34"/>
      <c r="BQ22" s="34"/>
      <c r="BR22" s="34"/>
      <c r="BS22" t="e">
        <v>#N/A</v>
      </c>
    </row>
    <row r="23" spans="1:71" s="111" customFormat="1">
      <c r="A23" s="34">
        <v>0</v>
      </c>
      <c r="B23" s="35"/>
      <c r="C23" s="9" t="s">
        <v>54</v>
      </c>
      <c r="D23" s="10" t="s">
        <v>1</v>
      </c>
      <c r="E23" s="9" t="s">
        <v>115</v>
      </c>
      <c r="F23" s="36" t="s">
        <v>99</v>
      </c>
      <c r="G23" s="9" t="s">
        <v>100</v>
      </c>
      <c r="H23" s="34" t="s">
        <v>107</v>
      </c>
      <c r="I23" s="9" t="s">
        <v>100</v>
      </c>
      <c r="J23" s="36" t="s">
        <v>101</v>
      </c>
      <c r="K23" s="34"/>
      <c r="L23" s="34" t="s">
        <v>108</v>
      </c>
      <c r="M23" s="34" t="s">
        <v>108</v>
      </c>
      <c r="N23" s="9" t="s">
        <v>100</v>
      </c>
      <c r="O23" s="34" t="s">
        <v>107</v>
      </c>
      <c r="P23" s="9" t="s">
        <v>100</v>
      </c>
      <c r="Q23" s="34" t="s">
        <v>107</v>
      </c>
      <c r="R23" s="34" t="s">
        <v>113</v>
      </c>
      <c r="S23" s="10" t="s">
        <v>119</v>
      </c>
      <c r="T23" s="10" t="s">
        <v>130</v>
      </c>
      <c r="U23" s="10" t="s">
        <v>120</v>
      </c>
      <c r="V23" s="10" t="s">
        <v>101</v>
      </c>
      <c r="W23" s="10" t="s">
        <v>121</v>
      </c>
      <c r="X23" s="10" t="s">
        <v>122</v>
      </c>
      <c r="Y23" s="10" t="s">
        <v>123</v>
      </c>
      <c r="Z23" s="37">
        <v>1</v>
      </c>
      <c r="AA23" s="33">
        <v>43889</v>
      </c>
      <c r="AB23" s="9" t="s">
        <v>114</v>
      </c>
      <c r="AC23" s="9" t="s">
        <v>124</v>
      </c>
      <c r="AD23" s="15">
        <v>44012</v>
      </c>
      <c r="AE23" s="39" t="s">
        <v>125</v>
      </c>
      <c r="AF23" s="35">
        <v>5</v>
      </c>
      <c r="AG23" s="10" t="s">
        <v>126</v>
      </c>
      <c r="AH23" s="35"/>
      <c r="AI23" s="31">
        <f>FAR[[#This Row],[EUL]]</f>
        <v>6</v>
      </c>
      <c r="AJ23" s="31">
        <f>FAR[[#This Row],[Opening RUL 30 June 2026]]-1</f>
        <v>0</v>
      </c>
      <c r="AK23" s="10" t="s">
        <v>127</v>
      </c>
      <c r="AL23" s="38">
        <v>0</v>
      </c>
      <c r="AM23" s="38">
        <v>1265</v>
      </c>
      <c r="AN23" s="13">
        <v>0</v>
      </c>
      <c r="AO23" s="13">
        <v>0</v>
      </c>
      <c r="AP23" s="13">
        <v>0</v>
      </c>
      <c r="AQ23" s="38">
        <v>1265</v>
      </c>
      <c r="AR23" s="38">
        <v>0</v>
      </c>
      <c r="AS23" s="38"/>
      <c r="AT23" s="38"/>
      <c r="AU23" s="38"/>
      <c r="AV23" s="13">
        <v>0</v>
      </c>
      <c r="AW23" s="38"/>
      <c r="AX23" s="13" t="s">
        <v>114</v>
      </c>
      <c r="AY23" s="37"/>
      <c r="AZ23" s="38"/>
      <c r="BA23" s="13">
        <v>-85.257534246575347</v>
      </c>
      <c r="BB23" s="38"/>
      <c r="BC23" s="13" t="s">
        <v>116</v>
      </c>
      <c r="BD23" s="38"/>
      <c r="BE23" s="13">
        <f>FAR[[#This Row],[Accumulated depreciation (Opening balance)]]+FAR[[#This Row],[Depreciation YTD]]</f>
        <v>-5120.88</v>
      </c>
      <c r="BF23" s="38"/>
      <c r="BG23" s="38"/>
      <c r="BH23" s="38"/>
      <c r="BI23" s="38"/>
      <c r="BJ23" s="38"/>
      <c r="BK23" s="29">
        <f>FAR[[#This Row],[Cost Price (closing balance)]]+FAR[[#This Row],[Accumulated depreciation (Closing balance)]]</f>
        <v>0</v>
      </c>
      <c r="BL23" s="38">
        <f>FAR[[#This Row],[Accumulated depreciation (Opening balance)]]</f>
        <v>-4836.3866666666672</v>
      </c>
      <c r="BM23" s="38">
        <f>FAR[[#This Row],[Depreciation YTD]]</f>
        <v>-284.49333333333288</v>
      </c>
      <c r="BN23" s="38">
        <f>FAR[[#This Row],[Accumulated depreciation (Closing balance)]]</f>
        <v>-5120.88</v>
      </c>
      <c r="BO23" s="34"/>
      <c r="BP23" s="34"/>
      <c r="BQ23" s="34"/>
      <c r="BR23" s="34"/>
      <c r="BS23" t="e">
        <v>#N/A</v>
      </c>
    </row>
    <row r="24" spans="1:71" s="111" customFormat="1">
      <c r="A24" s="34">
        <v>0</v>
      </c>
      <c r="B24" s="35"/>
      <c r="C24" s="9" t="s">
        <v>54</v>
      </c>
      <c r="D24" s="10" t="s">
        <v>1</v>
      </c>
      <c r="E24" s="9" t="s">
        <v>115</v>
      </c>
      <c r="F24" s="36" t="s">
        <v>99</v>
      </c>
      <c r="G24" s="9" t="s">
        <v>100</v>
      </c>
      <c r="H24" s="34" t="s">
        <v>107</v>
      </c>
      <c r="I24" s="9" t="s">
        <v>100</v>
      </c>
      <c r="J24" s="36" t="s">
        <v>101</v>
      </c>
      <c r="K24" s="34"/>
      <c r="L24" s="34" t="s">
        <v>108</v>
      </c>
      <c r="M24" s="34" t="s">
        <v>108</v>
      </c>
      <c r="N24" s="9" t="s">
        <v>100</v>
      </c>
      <c r="O24" s="34" t="s">
        <v>107</v>
      </c>
      <c r="P24" s="9" t="s">
        <v>100</v>
      </c>
      <c r="Q24" s="34" t="s">
        <v>107</v>
      </c>
      <c r="R24" s="34" t="s">
        <v>113</v>
      </c>
      <c r="S24" s="10" t="s">
        <v>119</v>
      </c>
      <c r="T24" s="10" t="s">
        <v>130</v>
      </c>
      <c r="U24" s="10" t="s">
        <v>120</v>
      </c>
      <c r="V24" s="10" t="s">
        <v>101</v>
      </c>
      <c r="W24" s="10" t="s">
        <v>121</v>
      </c>
      <c r="X24" s="10" t="s">
        <v>122</v>
      </c>
      <c r="Y24" s="10" t="s">
        <v>123</v>
      </c>
      <c r="Z24" s="37">
        <v>1</v>
      </c>
      <c r="AA24" s="33">
        <v>43889</v>
      </c>
      <c r="AB24" s="9" t="s">
        <v>114</v>
      </c>
      <c r="AC24" s="9" t="s">
        <v>124</v>
      </c>
      <c r="AD24" s="15">
        <v>44012</v>
      </c>
      <c r="AE24" s="39" t="s">
        <v>125</v>
      </c>
      <c r="AF24" s="35">
        <v>5</v>
      </c>
      <c r="AG24" s="10" t="s">
        <v>126</v>
      </c>
      <c r="AH24" s="35"/>
      <c r="AI24" s="31">
        <f>FAR[[#This Row],[EUL]]</f>
        <v>6</v>
      </c>
      <c r="AJ24" s="31">
        <f>FAR[[#This Row],[Opening RUL 30 June 2026]]-1</f>
        <v>0</v>
      </c>
      <c r="AK24" s="10" t="s">
        <v>127</v>
      </c>
      <c r="AL24" s="38">
        <v>0</v>
      </c>
      <c r="AM24" s="38">
        <v>1265</v>
      </c>
      <c r="AN24" s="13">
        <v>0</v>
      </c>
      <c r="AO24" s="13">
        <v>0</v>
      </c>
      <c r="AP24" s="13">
        <v>0</v>
      </c>
      <c r="AQ24" s="38">
        <v>1265</v>
      </c>
      <c r="AR24" s="38">
        <v>0</v>
      </c>
      <c r="AS24" s="38"/>
      <c r="AT24" s="38"/>
      <c r="AU24" s="38"/>
      <c r="AV24" s="13">
        <v>0</v>
      </c>
      <c r="AW24" s="38"/>
      <c r="AX24" s="13" t="s">
        <v>114</v>
      </c>
      <c r="AY24" s="37"/>
      <c r="AZ24" s="38"/>
      <c r="BA24" s="13">
        <v>-85.257534246575347</v>
      </c>
      <c r="BB24" s="38"/>
      <c r="BC24" s="13" t="s">
        <v>116</v>
      </c>
      <c r="BD24" s="38"/>
      <c r="BE24" s="13">
        <f>FAR[[#This Row],[Accumulated depreciation (Opening balance)]]+FAR[[#This Row],[Depreciation YTD]]</f>
        <v>-18910.32</v>
      </c>
      <c r="BF24" s="38"/>
      <c r="BG24" s="38"/>
      <c r="BH24" s="38"/>
      <c r="BI24" s="38"/>
      <c r="BJ24" s="38"/>
      <c r="BK24" s="29">
        <f>FAR[[#This Row],[Cost Price (closing balance)]]+FAR[[#This Row],[Accumulated depreciation (Closing balance)]]</f>
        <v>0</v>
      </c>
      <c r="BL24" s="38">
        <f>FAR[[#This Row],[Accumulated depreciation (Opening balance)]]</f>
        <v>-17859.746666666666</v>
      </c>
      <c r="BM24" s="38">
        <f>FAR[[#This Row],[Depreciation YTD]]</f>
        <v>-1050.5733333333337</v>
      </c>
      <c r="BN24" s="38">
        <f>FAR[[#This Row],[Accumulated depreciation (Closing balance)]]</f>
        <v>-18910.32</v>
      </c>
      <c r="BO24" s="34"/>
      <c r="BP24" s="34"/>
      <c r="BQ24" s="34"/>
      <c r="BR24" s="34"/>
      <c r="BS24" t="e">
        <v>#N/A</v>
      </c>
    </row>
    <row r="25" spans="1:71" s="111" customFormat="1">
      <c r="A25" s="34">
        <v>0</v>
      </c>
      <c r="B25" s="35"/>
      <c r="C25" s="9" t="s">
        <v>54</v>
      </c>
      <c r="D25" s="10" t="s">
        <v>1</v>
      </c>
      <c r="E25" s="9" t="s">
        <v>115</v>
      </c>
      <c r="F25" s="36" t="s">
        <v>99</v>
      </c>
      <c r="G25" s="9" t="s">
        <v>100</v>
      </c>
      <c r="H25" s="34" t="s">
        <v>107</v>
      </c>
      <c r="I25" s="9" t="s">
        <v>100</v>
      </c>
      <c r="J25" s="36" t="s">
        <v>101</v>
      </c>
      <c r="K25" s="34"/>
      <c r="L25" s="34" t="s">
        <v>108</v>
      </c>
      <c r="M25" s="34" t="s">
        <v>108</v>
      </c>
      <c r="N25" s="9" t="s">
        <v>100</v>
      </c>
      <c r="O25" s="34" t="s">
        <v>107</v>
      </c>
      <c r="P25" s="9" t="s">
        <v>100</v>
      </c>
      <c r="Q25" s="34" t="s">
        <v>107</v>
      </c>
      <c r="R25" s="34" t="s">
        <v>113</v>
      </c>
      <c r="S25" s="10" t="s">
        <v>119</v>
      </c>
      <c r="T25" s="10" t="s">
        <v>130</v>
      </c>
      <c r="U25" s="10" t="s">
        <v>120</v>
      </c>
      <c r="V25" s="10" t="s">
        <v>101</v>
      </c>
      <c r="W25" s="10" t="s">
        <v>121</v>
      </c>
      <c r="X25" s="10" t="s">
        <v>122</v>
      </c>
      <c r="Y25" s="10" t="s">
        <v>123</v>
      </c>
      <c r="Z25" s="37">
        <v>1</v>
      </c>
      <c r="AA25" s="33">
        <v>43889</v>
      </c>
      <c r="AB25" s="9" t="s">
        <v>114</v>
      </c>
      <c r="AC25" s="9" t="s">
        <v>124</v>
      </c>
      <c r="AD25" s="15">
        <v>44012</v>
      </c>
      <c r="AE25" s="39" t="s">
        <v>125</v>
      </c>
      <c r="AF25" s="35">
        <v>5</v>
      </c>
      <c r="AG25" s="10" t="s">
        <v>126</v>
      </c>
      <c r="AH25" s="35"/>
      <c r="AI25" s="31">
        <f>FAR[[#This Row],[EUL]]</f>
        <v>6</v>
      </c>
      <c r="AJ25" s="31">
        <f>FAR[[#This Row],[Opening RUL 30 June 2026]]-1</f>
        <v>0</v>
      </c>
      <c r="AK25" s="10" t="s">
        <v>127</v>
      </c>
      <c r="AL25" s="38">
        <v>0</v>
      </c>
      <c r="AM25" s="38">
        <v>1265</v>
      </c>
      <c r="AN25" s="13">
        <v>0</v>
      </c>
      <c r="AO25" s="13">
        <v>0</v>
      </c>
      <c r="AP25" s="13">
        <v>0</v>
      </c>
      <c r="AQ25" s="38">
        <v>1265</v>
      </c>
      <c r="AR25" s="38">
        <v>0</v>
      </c>
      <c r="AS25" s="38"/>
      <c r="AT25" s="38"/>
      <c r="AU25" s="38"/>
      <c r="AV25" s="13">
        <v>0</v>
      </c>
      <c r="AW25" s="38"/>
      <c r="AX25" s="13" t="s">
        <v>114</v>
      </c>
      <c r="AY25" s="37"/>
      <c r="AZ25" s="38"/>
      <c r="BA25" s="13">
        <v>-85.257534246575347</v>
      </c>
      <c r="BB25" s="38"/>
      <c r="BC25" s="13" t="s">
        <v>116</v>
      </c>
      <c r="BD25" s="38"/>
      <c r="BE25" s="13">
        <f>FAR[[#This Row],[Accumulated depreciation (Opening balance)]]+FAR[[#This Row],[Depreciation YTD]]</f>
        <v>-4407.24</v>
      </c>
      <c r="BF25" s="38"/>
      <c r="BG25" s="38"/>
      <c r="BH25" s="38"/>
      <c r="BI25" s="38"/>
      <c r="BJ25" s="38"/>
      <c r="BK25" s="29">
        <f>FAR[[#This Row],[Cost Price (closing balance)]]+FAR[[#This Row],[Accumulated depreciation (Closing balance)]]</f>
        <v>0</v>
      </c>
      <c r="BL25" s="38">
        <f>FAR[[#This Row],[Accumulated depreciation (Opening balance)]]</f>
        <v>-4162.3933333333334</v>
      </c>
      <c r="BM25" s="38">
        <f>FAR[[#This Row],[Depreciation YTD]]</f>
        <v>-244.84666666666635</v>
      </c>
      <c r="BN25" s="38">
        <f>FAR[[#This Row],[Accumulated depreciation (Closing balance)]]</f>
        <v>-4407.24</v>
      </c>
      <c r="BO25" s="34"/>
      <c r="BP25" s="34"/>
      <c r="BQ25" s="34"/>
      <c r="BR25" s="34"/>
      <c r="BS25" t="e">
        <v>#N/A</v>
      </c>
    </row>
    <row r="26" spans="1:71" s="3" customFormat="1">
      <c r="A26" s="34">
        <v>0</v>
      </c>
      <c r="B26" s="35"/>
      <c r="C26" s="9" t="s">
        <v>54</v>
      </c>
      <c r="D26" s="10" t="s">
        <v>1</v>
      </c>
      <c r="E26" s="9" t="s">
        <v>115</v>
      </c>
      <c r="F26" s="36" t="s">
        <v>99</v>
      </c>
      <c r="G26" s="9" t="s">
        <v>100</v>
      </c>
      <c r="H26" s="34" t="s">
        <v>107</v>
      </c>
      <c r="I26" s="9" t="s">
        <v>100</v>
      </c>
      <c r="J26" s="36" t="s">
        <v>101</v>
      </c>
      <c r="K26" s="34"/>
      <c r="L26" s="34" t="s">
        <v>108</v>
      </c>
      <c r="M26" s="34" t="s">
        <v>108</v>
      </c>
      <c r="N26" s="9" t="s">
        <v>100</v>
      </c>
      <c r="O26" s="34" t="s">
        <v>107</v>
      </c>
      <c r="P26" s="9" t="s">
        <v>100</v>
      </c>
      <c r="Q26" s="34" t="s">
        <v>107</v>
      </c>
      <c r="R26" s="34" t="s">
        <v>113</v>
      </c>
      <c r="S26" s="10" t="s">
        <v>119</v>
      </c>
      <c r="T26" s="10" t="s">
        <v>130</v>
      </c>
      <c r="U26" s="10" t="s">
        <v>120</v>
      </c>
      <c r="V26" s="10" t="s">
        <v>101</v>
      </c>
      <c r="W26" s="10" t="s">
        <v>121</v>
      </c>
      <c r="X26" s="10" t="s">
        <v>122</v>
      </c>
      <c r="Y26" s="10" t="s">
        <v>123</v>
      </c>
      <c r="Z26" s="37">
        <v>1</v>
      </c>
      <c r="AA26" s="33">
        <v>43889</v>
      </c>
      <c r="AB26" s="9" t="s">
        <v>114</v>
      </c>
      <c r="AC26" s="9" t="s">
        <v>124</v>
      </c>
      <c r="AD26" s="15">
        <v>44012</v>
      </c>
      <c r="AE26" s="39" t="s">
        <v>125</v>
      </c>
      <c r="AF26" s="35">
        <v>5</v>
      </c>
      <c r="AG26" s="10" t="s">
        <v>126</v>
      </c>
      <c r="AH26" s="35"/>
      <c r="AI26" s="31">
        <f>FAR[[#This Row],[EUL]]</f>
        <v>6</v>
      </c>
      <c r="AJ26" s="31">
        <f>FAR[[#This Row],[Opening RUL 30 June 2026]]-1</f>
        <v>0</v>
      </c>
      <c r="AK26" s="10" t="s">
        <v>127</v>
      </c>
      <c r="AL26" s="38">
        <v>0</v>
      </c>
      <c r="AM26" s="38">
        <v>1265</v>
      </c>
      <c r="AN26" s="13">
        <v>0</v>
      </c>
      <c r="AO26" s="13">
        <v>0</v>
      </c>
      <c r="AP26" s="13">
        <v>0</v>
      </c>
      <c r="AQ26" s="38">
        <v>1265</v>
      </c>
      <c r="AR26" s="38">
        <v>0</v>
      </c>
      <c r="AS26" s="38"/>
      <c r="AT26" s="38"/>
      <c r="AU26" s="38"/>
      <c r="AV26" s="13">
        <v>0</v>
      </c>
      <c r="AW26" s="38"/>
      <c r="AX26" s="13" t="s">
        <v>114</v>
      </c>
      <c r="AY26" s="37"/>
      <c r="AZ26" s="38"/>
      <c r="BA26" s="13">
        <v>-85.257534246575347</v>
      </c>
      <c r="BB26" s="38"/>
      <c r="BC26" s="13" t="s">
        <v>116</v>
      </c>
      <c r="BD26" s="38"/>
      <c r="BE26" s="13">
        <f>FAR[[#This Row],[Accumulated depreciation (Opening balance)]]+FAR[[#This Row],[Depreciation YTD]]</f>
        <v>-13866.96</v>
      </c>
      <c r="BF26" s="38"/>
      <c r="BG26" s="38"/>
      <c r="BH26" s="38"/>
      <c r="BI26" s="38"/>
      <c r="BJ26" s="38"/>
      <c r="BK26" s="29">
        <f>FAR[[#This Row],[Cost Price (closing balance)]]+FAR[[#This Row],[Accumulated depreciation (Closing balance)]]</f>
        <v>0</v>
      </c>
      <c r="BL26" s="38">
        <f>FAR[[#This Row],[Accumulated depreciation (Opening balance)]]</f>
        <v>-13096.573333333334</v>
      </c>
      <c r="BM26" s="38">
        <f>FAR[[#This Row],[Depreciation YTD]]</f>
        <v>-770.38666666666541</v>
      </c>
      <c r="BN26" s="38">
        <f>FAR[[#This Row],[Accumulated depreciation (Closing balance)]]</f>
        <v>-13866.96</v>
      </c>
      <c r="BO26" s="34"/>
      <c r="BP26" s="34"/>
      <c r="BQ26" s="34"/>
      <c r="BR26" s="34"/>
      <c r="BS26" t="e">
        <v>#N/A</v>
      </c>
    </row>
    <row r="27" spans="1:71" s="3" customFormat="1">
      <c r="A27" s="34">
        <v>0</v>
      </c>
      <c r="B27" s="35"/>
      <c r="C27" s="9" t="s">
        <v>54</v>
      </c>
      <c r="D27" s="10" t="s">
        <v>1</v>
      </c>
      <c r="E27" s="9" t="s">
        <v>115</v>
      </c>
      <c r="F27" s="36" t="s">
        <v>99</v>
      </c>
      <c r="G27" s="9" t="s">
        <v>100</v>
      </c>
      <c r="H27" s="34" t="s">
        <v>107</v>
      </c>
      <c r="I27" s="9" t="s">
        <v>100</v>
      </c>
      <c r="J27" s="36" t="s">
        <v>101</v>
      </c>
      <c r="K27" s="34"/>
      <c r="L27" s="34" t="s">
        <v>108</v>
      </c>
      <c r="M27" s="34" t="s">
        <v>108</v>
      </c>
      <c r="N27" s="9" t="s">
        <v>100</v>
      </c>
      <c r="O27" s="34" t="s">
        <v>107</v>
      </c>
      <c r="P27" s="9" t="s">
        <v>100</v>
      </c>
      <c r="Q27" s="34" t="s">
        <v>107</v>
      </c>
      <c r="R27" s="34" t="s">
        <v>113</v>
      </c>
      <c r="S27" s="10" t="s">
        <v>119</v>
      </c>
      <c r="T27" s="10" t="s">
        <v>130</v>
      </c>
      <c r="U27" s="10" t="s">
        <v>120</v>
      </c>
      <c r="V27" s="10" t="s">
        <v>101</v>
      </c>
      <c r="W27" s="10" t="s">
        <v>121</v>
      </c>
      <c r="X27" s="10" t="s">
        <v>122</v>
      </c>
      <c r="Y27" s="10" t="s">
        <v>123</v>
      </c>
      <c r="Z27" s="37">
        <v>1</v>
      </c>
      <c r="AA27" s="33">
        <v>43889</v>
      </c>
      <c r="AB27" s="9" t="s">
        <v>114</v>
      </c>
      <c r="AC27" s="9" t="s">
        <v>124</v>
      </c>
      <c r="AD27" s="15">
        <v>44012</v>
      </c>
      <c r="AE27" s="39" t="s">
        <v>125</v>
      </c>
      <c r="AF27" s="35">
        <v>5</v>
      </c>
      <c r="AG27" s="10" t="s">
        <v>126</v>
      </c>
      <c r="AH27" s="35"/>
      <c r="AI27" s="31">
        <f>FAR[[#This Row],[EUL]]</f>
        <v>6</v>
      </c>
      <c r="AJ27" s="31">
        <f>FAR[[#This Row],[Opening RUL 30 June 2026]]-1</f>
        <v>0</v>
      </c>
      <c r="AK27" s="10" t="s">
        <v>127</v>
      </c>
      <c r="AL27" s="38">
        <v>0</v>
      </c>
      <c r="AM27" s="38">
        <v>1265</v>
      </c>
      <c r="AN27" s="13">
        <v>0</v>
      </c>
      <c r="AO27" s="13">
        <v>0</v>
      </c>
      <c r="AP27" s="13">
        <v>0</v>
      </c>
      <c r="AQ27" s="38">
        <v>1265</v>
      </c>
      <c r="AR27" s="38">
        <v>0</v>
      </c>
      <c r="AS27" s="38"/>
      <c r="AT27" s="38"/>
      <c r="AU27" s="38"/>
      <c r="AV27" s="13">
        <v>0</v>
      </c>
      <c r="AW27" s="38"/>
      <c r="AX27" s="13" t="s">
        <v>114</v>
      </c>
      <c r="AY27" s="37"/>
      <c r="AZ27" s="38"/>
      <c r="BA27" s="13">
        <v>-85.257534246575347</v>
      </c>
      <c r="BB27" s="38"/>
      <c r="BC27" s="13" t="s">
        <v>116</v>
      </c>
      <c r="BD27" s="38"/>
      <c r="BE27" s="13">
        <f>FAR[[#This Row],[Accumulated depreciation (Opening balance)]]+FAR[[#This Row],[Depreciation YTD]]</f>
        <v>-8980.92</v>
      </c>
      <c r="BF27" s="38"/>
      <c r="BG27" s="38"/>
      <c r="BH27" s="38"/>
      <c r="BI27" s="38"/>
      <c r="BJ27" s="38"/>
      <c r="BK27" s="29">
        <f>FAR[[#This Row],[Cost Price (closing balance)]]+FAR[[#This Row],[Accumulated depreciation (Closing balance)]]</f>
        <v>0</v>
      </c>
      <c r="BL27" s="38">
        <f>FAR[[#This Row],[Accumulated depreciation (Opening balance)]]</f>
        <v>-8481.98</v>
      </c>
      <c r="BM27" s="38">
        <f>FAR[[#This Row],[Depreciation YTD]]</f>
        <v>-498.94000000000051</v>
      </c>
      <c r="BN27" s="38">
        <f>FAR[[#This Row],[Accumulated depreciation (Closing balance)]]</f>
        <v>-8980.92</v>
      </c>
      <c r="BO27" s="34"/>
      <c r="BP27" s="34"/>
      <c r="BQ27" s="34"/>
      <c r="BR27" s="34"/>
      <c r="BS27" t="e">
        <v>#N/A</v>
      </c>
    </row>
    <row r="28" spans="1:71" s="3" customFormat="1">
      <c r="A28" s="34">
        <v>0</v>
      </c>
      <c r="B28" s="35"/>
      <c r="C28" s="9" t="s">
        <v>54</v>
      </c>
      <c r="D28" s="10" t="s">
        <v>1</v>
      </c>
      <c r="E28" s="9" t="s">
        <v>115</v>
      </c>
      <c r="F28" s="36" t="s">
        <v>99</v>
      </c>
      <c r="G28" s="9" t="s">
        <v>100</v>
      </c>
      <c r="H28" s="34" t="s">
        <v>107</v>
      </c>
      <c r="I28" s="9" t="s">
        <v>100</v>
      </c>
      <c r="J28" s="36" t="s">
        <v>101</v>
      </c>
      <c r="K28" s="34"/>
      <c r="L28" s="34" t="s">
        <v>108</v>
      </c>
      <c r="M28" s="34" t="s">
        <v>108</v>
      </c>
      <c r="N28" s="9" t="s">
        <v>100</v>
      </c>
      <c r="O28" s="34" t="s">
        <v>107</v>
      </c>
      <c r="P28" s="9" t="s">
        <v>100</v>
      </c>
      <c r="Q28" s="34" t="s">
        <v>107</v>
      </c>
      <c r="R28" s="34" t="s">
        <v>113</v>
      </c>
      <c r="S28" s="10" t="s">
        <v>119</v>
      </c>
      <c r="T28" s="10" t="s">
        <v>130</v>
      </c>
      <c r="U28" s="10" t="s">
        <v>120</v>
      </c>
      <c r="V28" s="10" t="s">
        <v>101</v>
      </c>
      <c r="W28" s="10" t="s">
        <v>121</v>
      </c>
      <c r="X28" s="10" t="s">
        <v>122</v>
      </c>
      <c r="Y28" s="10" t="s">
        <v>123</v>
      </c>
      <c r="Z28" s="37">
        <v>1</v>
      </c>
      <c r="AA28" s="33">
        <v>43889</v>
      </c>
      <c r="AB28" s="9" t="s">
        <v>114</v>
      </c>
      <c r="AC28" s="9" t="s">
        <v>124</v>
      </c>
      <c r="AD28" s="15">
        <v>44012</v>
      </c>
      <c r="AE28" s="39" t="s">
        <v>125</v>
      </c>
      <c r="AF28" s="35">
        <v>5</v>
      </c>
      <c r="AG28" s="10" t="s">
        <v>126</v>
      </c>
      <c r="AH28" s="35"/>
      <c r="AI28" s="31">
        <f>FAR[[#This Row],[EUL]]</f>
        <v>6</v>
      </c>
      <c r="AJ28" s="31">
        <f>FAR[[#This Row],[Opening RUL 30 June 2026]]-1</f>
        <v>0</v>
      </c>
      <c r="AK28" s="10" t="s">
        <v>127</v>
      </c>
      <c r="AL28" s="38">
        <v>0</v>
      </c>
      <c r="AM28" s="38">
        <v>1265</v>
      </c>
      <c r="AN28" s="13">
        <v>0</v>
      </c>
      <c r="AO28" s="13">
        <v>0</v>
      </c>
      <c r="AP28" s="13">
        <v>0</v>
      </c>
      <c r="AQ28" s="38">
        <v>1265</v>
      </c>
      <c r="AR28" s="38">
        <v>0</v>
      </c>
      <c r="AS28" s="38"/>
      <c r="AT28" s="38"/>
      <c r="AU28" s="38"/>
      <c r="AV28" s="13">
        <v>0</v>
      </c>
      <c r="AW28" s="38"/>
      <c r="AX28" s="13" t="s">
        <v>114</v>
      </c>
      <c r="AY28" s="37"/>
      <c r="AZ28" s="38"/>
      <c r="BA28" s="13">
        <v>-85.257534246575347</v>
      </c>
      <c r="BB28" s="38"/>
      <c r="BC28" s="13" t="s">
        <v>116</v>
      </c>
      <c r="BD28" s="38"/>
      <c r="BE28" s="13">
        <f>FAR[[#This Row],[Accumulated depreciation (Opening balance)]]+FAR[[#This Row],[Depreciation YTD]]</f>
        <v>-5120.88</v>
      </c>
      <c r="BF28" s="38"/>
      <c r="BG28" s="38"/>
      <c r="BH28" s="38"/>
      <c r="BI28" s="38"/>
      <c r="BJ28" s="38"/>
      <c r="BK28" s="29">
        <f>FAR[[#This Row],[Cost Price (closing balance)]]+FAR[[#This Row],[Accumulated depreciation (Closing balance)]]</f>
        <v>0</v>
      </c>
      <c r="BL28" s="38">
        <f>FAR[[#This Row],[Accumulated depreciation (Opening balance)]]</f>
        <v>-4836.3866666666672</v>
      </c>
      <c r="BM28" s="38">
        <f>FAR[[#This Row],[Depreciation YTD]]</f>
        <v>-284.49333333333288</v>
      </c>
      <c r="BN28" s="38">
        <f>FAR[[#This Row],[Accumulated depreciation (Closing balance)]]</f>
        <v>-5120.88</v>
      </c>
      <c r="BO28" s="34"/>
      <c r="BP28" s="34"/>
      <c r="BQ28" s="34"/>
      <c r="BR28" s="34"/>
      <c r="BS28" t="e">
        <v>#N/A</v>
      </c>
    </row>
    <row r="29" spans="1:71" s="3" customFormat="1">
      <c r="A29" s="34">
        <v>0</v>
      </c>
      <c r="B29" s="35"/>
      <c r="C29" s="9" t="s">
        <v>54</v>
      </c>
      <c r="D29" s="10" t="s">
        <v>1</v>
      </c>
      <c r="E29" s="9" t="s">
        <v>115</v>
      </c>
      <c r="F29" s="36" t="s">
        <v>99</v>
      </c>
      <c r="G29" s="9" t="s">
        <v>100</v>
      </c>
      <c r="H29" s="34" t="s">
        <v>107</v>
      </c>
      <c r="I29" s="9" t="s">
        <v>100</v>
      </c>
      <c r="J29" s="36" t="s">
        <v>101</v>
      </c>
      <c r="K29" s="34"/>
      <c r="L29" s="34" t="s">
        <v>108</v>
      </c>
      <c r="M29" s="34" t="s">
        <v>108</v>
      </c>
      <c r="N29" s="9" t="s">
        <v>100</v>
      </c>
      <c r="O29" s="34" t="s">
        <v>107</v>
      </c>
      <c r="P29" s="9" t="s">
        <v>100</v>
      </c>
      <c r="Q29" s="34" t="s">
        <v>107</v>
      </c>
      <c r="R29" s="34" t="s">
        <v>113</v>
      </c>
      <c r="S29" s="10" t="s">
        <v>119</v>
      </c>
      <c r="T29" s="10" t="s">
        <v>130</v>
      </c>
      <c r="U29" s="10" t="s">
        <v>120</v>
      </c>
      <c r="V29" s="10" t="s">
        <v>101</v>
      </c>
      <c r="W29" s="10" t="s">
        <v>121</v>
      </c>
      <c r="X29" s="10" t="s">
        <v>122</v>
      </c>
      <c r="Y29" s="10" t="s">
        <v>123</v>
      </c>
      <c r="Z29" s="37">
        <v>1</v>
      </c>
      <c r="AA29" s="33">
        <v>43889</v>
      </c>
      <c r="AB29" s="9" t="s">
        <v>114</v>
      </c>
      <c r="AC29" s="9" t="s">
        <v>124</v>
      </c>
      <c r="AD29" s="15">
        <v>44012</v>
      </c>
      <c r="AE29" s="39" t="s">
        <v>125</v>
      </c>
      <c r="AF29" s="35">
        <v>5</v>
      </c>
      <c r="AG29" s="10" t="s">
        <v>126</v>
      </c>
      <c r="AH29" s="35"/>
      <c r="AI29" s="31">
        <f>FAR[[#This Row],[EUL]]</f>
        <v>6</v>
      </c>
      <c r="AJ29" s="31">
        <f>FAR[[#This Row],[Opening RUL 30 June 2026]]-1</f>
        <v>0</v>
      </c>
      <c r="AK29" s="10" t="s">
        <v>127</v>
      </c>
      <c r="AL29" s="38">
        <v>0</v>
      </c>
      <c r="AM29" s="38">
        <v>1265</v>
      </c>
      <c r="AN29" s="13">
        <v>0</v>
      </c>
      <c r="AO29" s="13">
        <v>0</v>
      </c>
      <c r="AP29" s="13">
        <v>0</v>
      </c>
      <c r="AQ29" s="38">
        <v>1265</v>
      </c>
      <c r="AR29" s="38">
        <v>0</v>
      </c>
      <c r="AS29" s="38"/>
      <c r="AT29" s="38"/>
      <c r="AU29" s="38"/>
      <c r="AV29" s="13">
        <v>0</v>
      </c>
      <c r="AW29" s="38"/>
      <c r="AX29" s="13" t="s">
        <v>114</v>
      </c>
      <c r="AY29" s="37"/>
      <c r="AZ29" s="38"/>
      <c r="BA29" s="13">
        <v>-85.257534246575347</v>
      </c>
      <c r="BB29" s="38"/>
      <c r="BC29" s="13" t="s">
        <v>116</v>
      </c>
      <c r="BD29" s="38"/>
      <c r="BE29" s="13">
        <f>FAR[[#This Row],[Accumulated depreciation (Opening balance)]]+FAR[[#This Row],[Depreciation YTD]]</f>
        <v>-5120.88</v>
      </c>
      <c r="BF29" s="38"/>
      <c r="BG29" s="38"/>
      <c r="BH29" s="38"/>
      <c r="BI29" s="38"/>
      <c r="BJ29" s="38"/>
      <c r="BK29" s="29">
        <f>FAR[[#This Row],[Cost Price (closing balance)]]+FAR[[#This Row],[Accumulated depreciation (Closing balance)]]</f>
        <v>0</v>
      </c>
      <c r="BL29" s="38">
        <f>FAR[[#This Row],[Accumulated depreciation (Opening balance)]]</f>
        <v>-4836.3866666666672</v>
      </c>
      <c r="BM29" s="38">
        <f>FAR[[#This Row],[Depreciation YTD]]</f>
        <v>-284.49333333333288</v>
      </c>
      <c r="BN29" s="38">
        <f>FAR[[#This Row],[Accumulated depreciation (Closing balance)]]</f>
        <v>-5120.88</v>
      </c>
      <c r="BO29" s="34"/>
      <c r="BP29" s="34"/>
      <c r="BQ29" s="34"/>
      <c r="BR29" s="34"/>
      <c r="BS29" t="e">
        <v>#N/A</v>
      </c>
    </row>
    <row r="30" spans="1:71" s="3" customFormat="1">
      <c r="A30" s="34">
        <v>0</v>
      </c>
      <c r="B30" s="35"/>
      <c r="C30" s="9" t="s">
        <v>54</v>
      </c>
      <c r="D30" s="10" t="s">
        <v>1</v>
      </c>
      <c r="E30" s="9" t="s">
        <v>115</v>
      </c>
      <c r="F30" s="36" t="s">
        <v>99</v>
      </c>
      <c r="G30" s="9" t="s">
        <v>100</v>
      </c>
      <c r="H30" s="34" t="s">
        <v>107</v>
      </c>
      <c r="I30" s="9" t="s">
        <v>100</v>
      </c>
      <c r="J30" s="36" t="s">
        <v>101</v>
      </c>
      <c r="K30" s="34"/>
      <c r="L30" s="34" t="s">
        <v>108</v>
      </c>
      <c r="M30" s="34" t="s">
        <v>108</v>
      </c>
      <c r="N30" s="9" t="s">
        <v>100</v>
      </c>
      <c r="O30" s="34" t="s">
        <v>107</v>
      </c>
      <c r="P30" s="9" t="s">
        <v>100</v>
      </c>
      <c r="Q30" s="34" t="s">
        <v>107</v>
      </c>
      <c r="R30" s="34" t="s">
        <v>113</v>
      </c>
      <c r="S30" s="10" t="s">
        <v>119</v>
      </c>
      <c r="T30" s="10" t="s">
        <v>130</v>
      </c>
      <c r="U30" s="10" t="s">
        <v>120</v>
      </c>
      <c r="V30" s="10" t="s">
        <v>101</v>
      </c>
      <c r="W30" s="10" t="s">
        <v>121</v>
      </c>
      <c r="X30" s="10" t="s">
        <v>122</v>
      </c>
      <c r="Y30" s="10" t="s">
        <v>123</v>
      </c>
      <c r="Z30" s="37">
        <v>1</v>
      </c>
      <c r="AA30" s="33">
        <v>43889</v>
      </c>
      <c r="AB30" s="9" t="s">
        <v>114</v>
      </c>
      <c r="AC30" s="9" t="s">
        <v>124</v>
      </c>
      <c r="AD30" s="15">
        <v>44012</v>
      </c>
      <c r="AE30" s="39" t="s">
        <v>125</v>
      </c>
      <c r="AF30" s="35">
        <v>5</v>
      </c>
      <c r="AG30" s="10" t="s">
        <v>126</v>
      </c>
      <c r="AH30" s="35"/>
      <c r="AI30" s="31">
        <f>FAR[[#This Row],[EUL]]</f>
        <v>6</v>
      </c>
      <c r="AJ30" s="31">
        <f>FAR[[#This Row],[Opening RUL 30 June 2026]]-1</f>
        <v>0</v>
      </c>
      <c r="AK30" s="10" t="s">
        <v>127</v>
      </c>
      <c r="AL30" s="38">
        <v>0</v>
      </c>
      <c r="AM30" s="38">
        <v>1265</v>
      </c>
      <c r="AN30" s="13">
        <v>0</v>
      </c>
      <c r="AO30" s="13">
        <v>0</v>
      </c>
      <c r="AP30" s="13">
        <v>0</v>
      </c>
      <c r="AQ30" s="38">
        <v>1265</v>
      </c>
      <c r="AR30" s="38">
        <v>0</v>
      </c>
      <c r="AS30" s="38"/>
      <c r="AT30" s="38"/>
      <c r="AU30" s="38"/>
      <c r="AV30" s="13">
        <v>0</v>
      </c>
      <c r="AW30" s="38"/>
      <c r="AX30" s="13" t="s">
        <v>114</v>
      </c>
      <c r="AY30" s="37"/>
      <c r="AZ30" s="38"/>
      <c r="BA30" s="13">
        <v>-85.257534246575347</v>
      </c>
      <c r="BB30" s="38"/>
      <c r="BC30" s="13" t="s">
        <v>116</v>
      </c>
      <c r="BD30" s="38"/>
      <c r="BE30" s="13">
        <f>FAR[[#This Row],[Accumulated depreciation (Opening balance)]]+FAR[[#This Row],[Depreciation YTD]]</f>
        <v>-12920.76</v>
      </c>
      <c r="BF30" s="38"/>
      <c r="BG30" s="38"/>
      <c r="BH30" s="38"/>
      <c r="BI30" s="38"/>
      <c r="BJ30" s="38"/>
      <c r="BK30" s="29">
        <f>FAR[[#This Row],[Cost Price (closing balance)]]+FAR[[#This Row],[Accumulated depreciation (Closing balance)]]</f>
        <v>0</v>
      </c>
      <c r="BL30" s="38">
        <f>FAR[[#This Row],[Accumulated depreciation (Opening balance)]]</f>
        <v>-12202.939999999999</v>
      </c>
      <c r="BM30" s="38">
        <f>FAR[[#This Row],[Depreciation YTD]]</f>
        <v>-717.82000000000153</v>
      </c>
      <c r="BN30" s="38">
        <f>FAR[[#This Row],[Accumulated depreciation (Closing balance)]]</f>
        <v>-12920.76</v>
      </c>
      <c r="BO30" s="34"/>
      <c r="BP30" s="34"/>
      <c r="BQ30" s="34"/>
      <c r="BR30" s="34"/>
      <c r="BS30" t="e">
        <v>#N/A</v>
      </c>
    </row>
    <row r="31" spans="1:71" s="3" customFormat="1">
      <c r="A31" s="34">
        <v>0</v>
      </c>
      <c r="B31" s="35"/>
      <c r="C31" s="9" t="s">
        <v>54</v>
      </c>
      <c r="D31" s="10" t="s">
        <v>1</v>
      </c>
      <c r="E31" s="9" t="s">
        <v>115</v>
      </c>
      <c r="F31" s="36" t="s">
        <v>99</v>
      </c>
      <c r="G31" s="9" t="s">
        <v>100</v>
      </c>
      <c r="H31" s="34" t="s">
        <v>107</v>
      </c>
      <c r="I31" s="9" t="s">
        <v>100</v>
      </c>
      <c r="J31" s="36" t="s">
        <v>101</v>
      </c>
      <c r="K31" s="34" t="s">
        <v>108</v>
      </c>
      <c r="L31" s="34" t="s">
        <v>108</v>
      </c>
      <c r="M31" s="34" t="s">
        <v>108</v>
      </c>
      <c r="N31" s="9" t="s">
        <v>100</v>
      </c>
      <c r="O31" s="34" t="s">
        <v>107</v>
      </c>
      <c r="P31" s="9" t="s">
        <v>100</v>
      </c>
      <c r="Q31" s="34" t="s">
        <v>107</v>
      </c>
      <c r="R31" s="34" t="s">
        <v>110</v>
      </c>
      <c r="S31" s="10" t="s">
        <v>119</v>
      </c>
      <c r="T31" s="10" t="s">
        <v>130</v>
      </c>
      <c r="U31" s="10" t="s">
        <v>120</v>
      </c>
      <c r="V31" s="10" t="s">
        <v>101</v>
      </c>
      <c r="W31" s="10" t="s">
        <v>121</v>
      </c>
      <c r="X31" s="10" t="s">
        <v>122</v>
      </c>
      <c r="Y31" s="10" t="s">
        <v>123</v>
      </c>
      <c r="Z31" s="37">
        <v>1</v>
      </c>
      <c r="AA31" s="33">
        <v>43889</v>
      </c>
      <c r="AB31" s="9" t="s">
        <v>114</v>
      </c>
      <c r="AC31" s="9" t="s">
        <v>124</v>
      </c>
      <c r="AD31" s="15">
        <v>44012</v>
      </c>
      <c r="AE31" s="39" t="s">
        <v>125</v>
      </c>
      <c r="AF31" s="35">
        <v>5</v>
      </c>
      <c r="AG31" s="10" t="s">
        <v>126</v>
      </c>
      <c r="AH31" s="35"/>
      <c r="AI31" s="31">
        <f>FAR[[#This Row],[EUL]]</f>
        <v>6</v>
      </c>
      <c r="AJ31" s="31">
        <f>FAR[[#This Row],[Opening RUL 30 June 2026]]-1</f>
        <v>0</v>
      </c>
      <c r="AK31" s="10" t="s">
        <v>127</v>
      </c>
      <c r="AL31" s="38">
        <v>0</v>
      </c>
      <c r="AM31" s="38">
        <v>4159</v>
      </c>
      <c r="AN31" s="13">
        <v>0</v>
      </c>
      <c r="AO31" s="13">
        <v>0</v>
      </c>
      <c r="AP31" s="13">
        <v>0</v>
      </c>
      <c r="AQ31" s="38">
        <v>4159</v>
      </c>
      <c r="AR31" s="38">
        <v>0</v>
      </c>
      <c r="AS31" s="38"/>
      <c r="AT31" s="38"/>
      <c r="AU31" s="38"/>
      <c r="AV31" s="13">
        <v>0</v>
      </c>
      <c r="AW31" s="38"/>
      <c r="AX31" s="13" t="s">
        <v>114</v>
      </c>
      <c r="AY31" s="37"/>
      <c r="AZ31" s="38"/>
      <c r="BA31" s="13">
        <v>-280.30520547945207</v>
      </c>
      <c r="BB31" s="38"/>
      <c r="BC31" s="13" t="s">
        <v>116</v>
      </c>
      <c r="BD31" s="38"/>
      <c r="BE31" s="13">
        <f>FAR[[#This Row],[Accumulated depreciation (Opening balance)]]+FAR[[#This Row],[Depreciation YTD]]</f>
        <v>-13393.86</v>
      </c>
      <c r="BF31" s="38"/>
      <c r="BG31" s="38"/>
      <c r="BH31" s="38"/>
      <c r="BI31" s="38"/>
      <c r="BJ31" s="38"/>
      <c r="BK31" s="29">
        <f>FAR[[#This Row],[Cost Price (closing balance)]]+FAR[[#This Row],[Accumulated depreciation (Closing balance)]]</f>
        <v>0</v>
      </c>
      <c r="BL31" s="38">
        <f>FAR[[#This Row],[Accumulated depreciation (Opening balance)]]</f>
        <v>-12649.756666666668</v>
      </c>
      <c r="BM31" s="38">
        <f>FAR[[#This Row],[Depreciation YTD]]</f>
        <v>-744.10333333333256</v>
      </c>
      <c r="BN31" s="38">
        <f>FAR[[#This Row],[Accumulated depreciation (Closing balance)]]</f>
        <v>-13393.86</v>
      </c>
      <c r="BO31" s="34"/>
      <c r="BP31" s="34"/>
      <c r="BQ31" s="34"/>
      <c r="BR31" s="34"/>
      <c r="BS31" t="e">
        <v>#N/A</v>
      </c>
    </row>
    <row r="32" spans="1:71" s="111" customFormat="1">
      <c r="A32" s="34">
        <v>0</v>
      </c>
      <c r="B32" s="35"/>
      <c r="C32" s="9" t="s">
        <v>54</v>
      </c>
      <c r="D32" s="10" t="s">
        <v>1</v>
      </c>
      <c r="E32" s="9" t="s">
        <v>115</v>
      </c>
      <c r="F32" s="36" t="s">
        <v>99</v>
      </c>
      <c r="G32" s="9" t="s">
        <v>100</v>
      </c>
      <c r="H32" s="34" t="s">
        <v>107</v>
      </c>
      <c r="I32" s="9" t="s">
        <v>100</v>
      </c>
      <c r="J32" s="36" t="s">
        <v>101</v>
      </c>
      <c r="K32" s="34" t="s">
        <v>108</v>
      </c>
      <c r="L32" s="34" t="s">
        <v>108</v>
      </c>
      <c r="M32" s="34" t="s">
        <v>108</v>
      </c>
      <c r="N32" s="9" t="s">
        <v>100</v>
      </c>
      <c r="O32" s="34" t="s">
        <v>107</v>
      </c>
      <c r="P32" s="9" t="s">
        <v>100</v>
      </c>
      <c r="Q32" s="34" t="s">
        <v>107</v>
      </c>
      <c r="R32" s="34" t="s">
        <v>111</v>
      </c>
      <c r="S32" s="10" t="s">
        <v>119</v>
      </c>
      <c r="T32" s="10" t="s">
        <v>130</v>
      </c>
      <c r="U32" s="10" t="s">
        <v>120</v>
      </c>
      <c r="V32" s="10" t="s">
        <v>101</v>
      </c>
      <c r="W32" s="10" t="s">
        <v>121</v>
      </c>
      <c r="X32" s="10" t="s">
        <v>122</v>
      </c>
      <c r="Y32" s="10" t="s">
        <v>123</v>
      </c>
      <c r="Z32" s="37">
        <v>1</v>
      </c>
      <c r="AA32" s="33">
        <v>43889</v>
      </c>
      <c r="AB32" s="9" t="s">
        <v>114</v>
      </c>
      <c r="AC32" s="9" t="s">
        <v>124</v>
      </c>
      <c r="AD32" s="15">
        <v>44012</v>
      </c>
      <c r="AE32" s="39" t="s">
        <v>125</v>
      </c>
      <c r="AF32" s="35">
        <v>5</v>
      </c>
      <c r="AG32" s="10" t="s">
        <v>126</v>
      </c>
      <c r="AH32" s="35"/>
      <c r="AI32" s="31">
        <f>FAR[[#This Row],[EUL]]</f>
        <v>6</v>
      </c>
      <c r="AJ32" s="31">
        <f>FAR[[#This Row],[Opening RUL 30 June 2026]]-1</f>
        <v>0</v>
      </c>
      <c r="AK32" s="10" t="s">
        <v>127</v>
      </c>
      <c r="AL32" s="38">
        <v>0</v>
      </c>
      <c r="AM32" s="38">
        <v>6419</v>
      </c>
      <c r="AN32" s="13">
        <v>0</v>
      </c>
      <c r="AO32" s="13">
        <v>0</v>
      </c>
      <c r="AP32" s="13">
        <v>0</v>
      </c>
      <c r="AQ32" s="38">
        <v>6419</v>
      </c>
      <c r="AR32" s="38">
        <v>0</v>
      </c>
      <c r="AS32" s="38"/>
      <c r="AT32" s="38"/>
      <c r="AU32" s="38"/>
      <c r="AV32" s="13">
        <v>0</v>
      </c>
      <c r="AW32" s="38"/>
      <c r="AX32" s="13" t="s">
        <v>114</v>
      </c>
      <c r="AY32" s="37"/>
      <c r="AZ32" s="38"/>
      <c r="BA32" s="13">
        <v>-432.62301369863019</v>
      </c>
      <c r="BB32" s="38"/>
      <c r="BC32" s="13" t="s">
        <v>116</v>
      </c>
      <c r="BD32" s="38"/>
      <c r="BE32" s="13">
        <f>FAR[[#This Row],[Accumulated depreciation (Opening balance)]]+FAR[[#This Row],[Depreciation YTD]]</f>
        <v>-6459.24</v>
      </c>
      <c r="BF32" s="38"/>
      <c r="BG32" s="38"/>
      <c r="BH32" s="38"/>
      <c r="BI32" s="38"/>
      <c r="BJ32" s="38"/>
      <c r="BK32" s="29">
        <f>FAR[[#This Row],[Cost Price (closing balance)]]+FAR[[#This Row],[Accumulated depreciation (Closing balance)]]</f>
        <v>0</v>
      </c>
      <c r="BL32" s="38">
        <f>FAR[[#This Row],[Accumulated depreciation (Opening balance)]]</f>
        <v>-6100.3933333333334</v>
      </c>
      <c r="BM32" s="38">
        <f>FAR[[#This Row],[Depreciation YTD]]</f>
        <v>-358.84666666666635</v>
      </c>
      <c r="BN32" s="38">
        <f>FAR[[#This Row],[Accumulated depreciation (Closing balance)]]</f>
        <v>-6459.24</v>
      </c>
      <c r="BO32" s="34"/>
      <c r="BP32" s="34"/>
      <c r="BQ32" s="34"/>
      <c r="BR32" s="34"/>
      <c r="BS32" t="e">
        <v>#N/A</v>
      </c>
    </row>
    <row r="33" spans="1:71" s="3" customFormat="1">
      <c r="A33" s="34">
        <v>0</v>
      </c>
      <c r="B33" s="35"/>
      <c r="C33" s="9" t="s">
        <v>54</v>
      </c>
      <c r="D33" s="10" t="s">
        <v>1</v>
      </c>
      <c r="E33" s="9" t="s">
        <v>115</v>
      </c>
      <c r="F33" s="36" t="s">
        <v>99</v>
      </c>
      <c r="G33" s="9" t="s">
        <v>100</v>
      </c>
      <c r="H33" s="34" t="s">
        <v>107</v>
      </c>
      <c r="I33" s="9" t="s">
        <v>100</v>
      </c>
      <c r="J33" s="36" t="s">
        <v>101</v>
      </c>
      <c r="K33" s="34" t="s">
        <v>108</v>
      </c>
      <c r="L33" s="34" t="s">
        <v>108</v>
      </c>
      <c r="M33" s="34" t="s">
        <v>108</v>
      </c>
      <c r="N33" s="9" t="s">
        <v>100</v>
      </c>
      <c r="O33" s="34" t="s">
        <v>107</v>
      </c>
      <c r="P33" s="9" t="s">
        <v>100</v>
      </c>
      <c r="Q33" s="34" t="s">
        <v>107</v>
      </c>
      <c r="R33" s="34" t="s">
        <v>112</v>
      </c>
      <c r="S33" s="10" t="s">
        <v>119</v>
      </c>
      <c r="T33" s="10" t="s">
        <v>130</v>
      </c>
      <c r="U33" s="10" t="s">
        <v>120</v>
      </c>
      <c r="V33" s="10" t="s">
        <v>101</v>
      </c>
      <c r="W33" s="10" t="s">
        <v>121</v>
      </c>
      <c r="X33" s="10" t="s">
        <v>122</v>
      </c>
      <c r="Y33" s="10" t="s">
        <v>123</v>
      </c>
      <c r="Z33" s="37">
        <v>1</v>
      </c>
      <c r="AA33" s="33">
        <v>43889</v>
      </c>
      <c r="AB33" s="9" t="s">
        <v>114</v>
      </c>
      <c r="AC33" s="9" t="s">
        <v>124</v>
      </c>
      <c r="AD33" s="15">
        <v>44012</v>
      </c>
      <c r="AE33" s="39" t="s">
        <v>125</v>
      </c>
      <c r="AF33" s="35">
        <v>5</v>
      </c>
      <c r="AG33" s="10" t="s">
        <v>126</v>
      </c>
      <c r="AH33" s="35"/>
      <c r="AI33" s="31">
        <f>FAR[[#This Row],[EUL]]</f>
        <v>6</v>
      </c>
      <c r="AJ33" s="31">
        <f>FAR[[#This Row],[Opening RUL 30 June 2026]]-1</f>
        <v>0</v>
      </c>
      <c r="AK33" s="10" t="s">
        <v>127</v>
      </c>
      <c r="AL33" s="38">
        <v>0</v>
      </c>
      <c r="AM33" s="38">
        <v>9463</v>
      </c>
      <c r="AN33" s="13">
        <v>0</v>
      </c>
      <c r="AO33" s="13">
        <v>0</v>
      </c>
      <c r="AP33" s="13">
        <v>0</v>
      </c>
      <c r="AQ33" s="38">
        <v>9463</v>
      </c>
      <c r="AR33" s="38">
        <v>0</v>
      </c>
      <c r="AS33" s="38"/>
      <c r="AT33" s="38"/>
      <c r="AU33" s="38"/>
      <c r="AV33" s="13">
        <v>0</v>
      </c>
      <c r="AW33" s="38"/>
      <c r="AX33" s="13" t="s">
        <v>114</v>
      </c>
      <c r="AY33" s="37"/>
      <c r="AZ33" s="38"/>
      <c r="BA33" s="13">
        <v>-637.7802739726028</v>
      </c>
      <c r="BB33" s="38"/>
      <c r="BC33" s="13" t="s">
        <v>116</v>
      </c>
      <c r="BD33" s="38"/>
      <c r="BE33" s="13">
        <f>FAR[[#This Row],[Accumulated depreciation (Opening balance)]]+FAR[[#This Row],[Depreciation YTD]]</f>
        <v>-6459.24</v>
      </c>
      <c r="BF33" s="38"/>
      <c r="BG33" s="38"/>
      <c r="BH33" s="38"/>
      <c r="BI33" s="38"/>
      <c r="BJ33" s="38"/>
      <c r="BK33" s="29">
        <f>FAR[[#This Row],[Cost Price (closing balance)]]+FAR[[#This Row],[Accumulated depreciation (Closing balance)]]</f>
        <v>0</v>
      </c>
      <c r="BL33" s="38">
        <f>FAR[[#This Row],[Accumulated depreciation (Opening balance)]]</f>
        <v>-6100.3933333333334</v>
      </c>
      <c r="BM33" s="38">
        <f>FAR[[#This Row],[Depreciation YTD]]</f>
        <v>-358.84666666666635</v>
      </c>
      <c r="BN33" s="38">
        <f>FAR[[#This Row],[Accumulated depreciation (Closing balance)]]</f>
        <v>-6459.24</v>
      </c>
      <c r="BO33" s="34"/>
      <c r="BP33" s="34"/>
      <c r="BQ33" s="34"/>
      <c r="BR33" s="34"/>
      <c r="BS33" t="e">
        <v>#N/A</v>
      </c>
    </row>
    <row r="34" spans="1:71" s="3" customFormat="1">
      <c r="A34" s="34">
        <v>0</v>
      </c>
      <c r="B34" s="35"/>
      <c r="C34" s="9" t="s">
        <v>54</v>
      </c>
      <c r="D34" s="10" t="s">
        <v>1</v>
      </c>
      <c r="E34" s="9" t="s">
        <v>115</v>
      </c>
      <c r="F34" s="36" t="s">
        <v>99</v>
      </c>
      <c r="G34" s="9" t="s">
        <v>100</v>
      </c>
      <c r="H34" s="34" t="s">
        <v>107</v>
      </c>
      <c r="I34" s="9" t="s">
        <v>100</v>
      </c>
      <c r="J34" s="36" t="s">
        <v>101</v>
      </c>
      <c r="K34" s="34" t="s">
        <v>108</v>
      </c>
      <c r="L34" s="34" t="s">
        <v>108</v>
      </c>
      <c r="M34" s="34" t="s">
        <v>108</v>
      </c>
      <c r="N34" s="9" t="s">
        <v>100</v>
      </c>
      <c r="O34" s="34" t="s">
        <v>107</v>
      </c>
      <c r="P34" s="9" t="s">
        <v>100</v>
      </c>
      <c r="Q34" s="34" t="s">
        <v>107</v>
      </c>
      <c r="R34" s="34" t="s">
        <v>112</v>
      </c>
      <c r="S34" s="10" t="s">
        <v>119</v>
      </c>
      <c r="T34" s="10" t="s">
        <v>130</v>
      </c>
      <c r="U34" s="10" t="s">
        <v>120</v>
      </c>
      <c r="V34" s="10" t="s">
        <v>101</v>
      </c>
      <c r="W34" s="10" t="s">
        <v>121</v>
      </c>
      <c r="X34" s="10" t="s">
        <v>122</v>
      </c>
      <c r="Y34" s="10" t="s">
        <v>123</v>
      </c>
      <c r="Z34" s="37">
        <v>1</v>
      </c>
      <c r="AA34" s="33">
        <v>43889</v>
      </c>
      <c r="AB34" s="9" t="s">
        <v>114</v>
      </c>
      <c r="AC34" s="9" t="s">
        <v>124</v>
      </c>
      <c r="AD34" s="15">
        <v>44012</v>
      </c>
      <c r="AE34" s="39" t="s">
        <v>125</v>
      </c>
      <c r="AF34" s="35">
        <v>5</v>
      </c>
      <c r="AG34" s="10" t="s">
        <v>126</v>
      </c>
      <c r="AH34" s="35"/>
      <c r="AI34" s="31">
        <f>FAR[[#This Row],[EUL]]</f>
        <v>6</v>
      </c>
      <c r="AJ34" s="31">
        <f>FAR[[#This Row],[Opening RUL 30 June 2026]]-1</f>
        <v>0</v>
      </c>
      <c r="AK34" s="10" t="s">
        <v>127</v>
      </c>
      <c r="AL34" s="38">
        <v>0</v>
      </c>
      <c r="AM34" s="38">
        <v>9463</v>
      </c>
      <c r="AN34" s="13">
        <v>0</v>
      </c>
      <c r="AO34" s="13">
        <v>0</v>
      </c>
      <c r="AP34" s="13">
        <v>0</v>
      </c>
      <c r="AQ34" s="38">
        <v>9463</v>
      </c>
      <c r="AR34" s="38">
        <v>0</v>
      </c>
      <c r="AS34" s="38"/>
      <c r="AT34" s="38"/>
      <c r="AU34" s="38"/>
      <c r="AV34" s="13">
        <v>0</v>
      </c>
      <c r="AW34" s="38"/>
      <c r="AX34" s="13" t="s">
        <v>114</v>
      </c>
      <c r="AY34" s="37"/>
      <c r="AZ34" s="38"/>
      <c r="BA34" s="13">
        <v>-637.7802739726028</v>
      </c>
      <c r="BB34" s="38"/>
      <c r="BC34" s="13" t="s">
        <v>116</v>
      </c>
      <c r="BD34" s="38"/>
      <c r="BE34" s="13">
        <f>FAR[[#This Row],[Accumulated depreciation (Opening balance)]]+FAR[[#This Row],[Depreciation YTD]]</f>
        <v>-3034.68</v>
      </c>
      <c r="BF34" s="38"/>
      <c r="BG34" s="38"/>
      <c r="BH34" s="38"/>
      <c r="BI34" s="38"/>
      <c r="BJ34" s="38"/>
      <c r="BK34" s="29">
        <f>FAR[[#This Row],[Cost Price (closing balance)]]+FAR[[#This Row],[Accumulated depreciation (Closing balance)]]</f>
        <v>0</v>
      </c>
      <c r="BL34" s="38">
        <f>FAR[[#This Row],[Accumulated depreciation (Opening balance)]]</f>
        <v>-2866.0866666666661</v>
      </c>
      <c r="BM34" s="38">
        <f>FAR[[#This Row],[Depreciation YTD]]</f>
        <v>-168.5933333333337</v>
      </c>
      <c r="BN34" s="38">
        <f>FAR[[#This Row],[Accumulated depreciation (Closing balance)]]</f>
        <v>-3034.68</v>
      </c>
      <c r="BO34" s="34"/>
      <c r="BP34" s="34"/>
      <c r="BQ34" s="34"/>
      <c r="BR34" s="34"/>
      <c r="BS34" t="e">
        <v>#N/A</v>
      </c>
    </row>
    <row r="35" spans="1:71" s="3" customFormat="1">
      <c r="A35" s="34">
        <v>0</v>
      </c>
      <c r="B35" s="35"/>
      <c r="C35" s="9" t="s">
        <v>54</v>
      </c>
      <c r="D35" s="10" t="s">
        <v>1</v>
      </c>
      <c r="E35" s="9" t="s">
        <v>115</v>
      </c>
      <c r="F35" s="36" t="s">
        <v>99</v>
      </c>
      <c r="G35" s="9" t="s">
        <v>100</v>
      </c>
      <c r="H35" s="34" t="s">
        <v>107</v>
      </c>
      <c r="I35" s="9" t="s">
        <v>100</v>
      </c>
      <c r="J35" s="36" t="s">
        <v>101</v>
      </c>
      <c r="K35" s="34" t="s">
        <v>108</v>
      </c>
      <c r="L35" s="34" t="s">
        <v>108</v>
      </c>
      <c r="M35" s="34" t="s">
        <v>108</v>
      </c>
      <c r="N35" s="9" t="s">
        <v>100</v>
      </c>
      <c r="O35" s="34" t="s">
        <v>107</v>
      </c>
      <c r="P35" s="9" t="s">
        <v>100</v>
      </c>
      <c r="Q35" s="34" t="s">
        <v>107</v>
      </c>
      <c r="R35" s="34" t="s">
        <v>112</v>
      </c>
      <c r="S35" s="10" t="s">
        <v>119</v>
      </c>
      <c r="T35" s="10" t="s">
        <v>130</v>
      </c>
      <c r="U35" s="10" t="s">
        <v>120</v>
      </c>
      <c r="V35" s="10" t="s">
        <v>101</v>
      </c>
      <c r="W35" s="10" t="s">
        <v>121</v>
      </c>
      <c r="X35" s="10" t="s">
        <v>122</v>
      </c>
      <c r="Y35" s="10" t="s">
        <v>123</v>
      </c>
      <c r="Z35" s="37">
        <v>1</v>
      </c>
      <c r="AA35" s="33">
        <v>43889</v>
      </c>
      <c r="AB35" s="9" t="s">
        <v>114</v>
      </c>
      <c r="AC35" s="9" t="s">
        <v>124</v>
      </c>
      <c r="AD35" s="15">
        <v>44012</v>
      </c>
      <c r="AE35" s="39" t="s">
        <v>125</v>
      </c>
      <c r="AF35" s="35">
        <v>5</v>
      </c>
      <c r="AG35" s="10" t="s">
        <v>126</v>
      </c>
      <c r="AH35" s="35"/>
      <c r="AI35" s="31">
        <f>FAR[[#This Row],[EUL]]</f>
        <v>6</v>
      </c>
      <c r="AJ35" s="31">
        <f>FAR[[#This Row],[Opening RUL 30 June 2026]]-1</f>
        <v>0</v>
      </c>
      <c r="AK35" s="10" t="s">
        <v>127</v>
      </c>
      <c r="AL35" s="38">
        <v>0</v>
      </c>
      <c r="AM35" s="38">
        <v>9463</v>
      </c>
      <c r="AN35" s="13">
        <v>0</v>
      </c>
      <c r="AO35" s="13">
        <v>0</v>
      </c>
      <c r="AP35" s="13">
        <v>0</v>
      </c>
      <c r="AQ35" s="38">
        <v>9463</v>
      </c>
      <c r="AR35" s="38">
        <v>0</v>
      </c>
      <c r="AS35" s="38"/>
      <c r="AT35" s="38"/>
      <c r="AU35" s="38"/>
      <c r="AV35" s="13">
        <v>0</v>
      </c>
      <c r="AW35" s="38"/>
      <c r="AX35" s="13" t="s">
        <v>114</v>
      </c>
      <c r="AY35" s="37"/>
      <c r="AZ35" s="38"/>
      <c r="BA35" s="13">
        <v>-637.7802739726028</v>
      </c>
      <c r="BB35" s="38"/>
      <c r="BC35" s="13" t="s">
        <v>116</v>
      </c>
      <c r="BD35" s="38"/>
      <c r="BE35" s="13">
        <f>FAR[[#This Row],[Accumulated depreciation (Opening balance)]]+FAR[[#This Row],[Depreciation YTD]]</f>
        <v>-3192</v>
      </c>
      <c r="BF35" s="38"/>
      <c r="BG35" s="38"/>
      <c r="BH35" s="38"/>
      <c r="BI35" s="38"/>
      <c r="BJ35" s="38"/>
      <c r="BK35" s="29">
        <f>FAR[[#This Row],[Cost Price (closing balance)]]+FAR[[#This Row],[Accumulated depreciation (Closing balance)]]</f>
        <v>0</v>
      </c>
      <c r="BL35" s="38">
        <f>FAR[[#This Row],[Accumulated depreciation (Opening balance)]]</f>
        <v>-3014.666666666667</v>
      </c>
      <c r="BM35" s="38">
        <f>FAR[[#This Row],[Depreciation YTD]]</f>
        <v>-177.33333333333303</v>
      </c>
      <c r="BN35" s="38">
        <f>FAR[[#This Row],[Accumulated depreciation (Closing balance)]]</f>
        <v>-3192</v>
      </c>
      <c r="BO35" s="34"/>
      <c r="BP35" s="34"/>
      <c r="BQ35" s="34"/>
      <c r="BR35" s="34"/>
      <c r="BS35" t="e">
        <v>#N/A</v>
      </c>
    </row>
    <row r="36" spans="1:71" s="3" customFormat="1">
      <c r="A36" s="34">
        <v>0</v>
      </c>
      <c r="B36" s="35"/>
      <c r="C36" s="9" t="s">
        <v>54</v>
      </c>
      <c r="D36" s="10" t="s">
        <v>1</v>
      </c>
      <c r="E36" s="9" t="s">
        <v>115</v>
      </c>
      <c r="F36" s="36" t="s">
        <v>99</v>
      </c>
      <c r="G36" s="9" t="s">
        <v>100</v>
      </c>
      <c r="H36" s="34" t="s">
        <v>107</v>
      </c>
      <c r="I36" s="9" t="s">
        <v>100</v>
      </c>
      <c r="J36" s="36" t="s">
        <v>101</v>
      </c>
      <c r="K36" s="34" t="s">
        <v>108</v>
      </c>
      <c r="L36" s="34" t="s">
        <v>108</v>
      </c>
      <c r="M36" s="34" t="s">
        <v>108</v>
      </c>
      <c r="N36" s="9" t="s">
        <v>100</v>
      </c>
      <c r="O36" s="34" t="s">
        <v>107</v>
      </c>
      <c r="P36" s="9" t="s">
        <v>100</v>
      </c>
      <c r="Q36" s="34" t="s">
        <v>107</v>
      </c>
      <c r="R36" s="34" t="s">
        <v>112</v>
      </c>
      <c r="S36" s="10" t="s">
        <v>119</v>
      </c>
      <c r="T36" s="10" t="s">
        <v>130</v>
      </c>
      <c r="U36" s="10" t="s">
        <v>120</v>
      </c>
      <c r="V36" s="10" t="s">
        <v>101</v>
      </c>
      <c r="W36" s="10" t="s">
        <v>121</v>
      </c>
      <c r="X36" s="10" t="s">
        <v>122</v>
      </c>
      <c r="Y36" s="10" t="s">
        <v>123</v>
      </c>
      <c r="Z36" s="37">
        <v>1</v>
      </c>
      <c r="AA36" s="33">
        <v>43889</v>
      </c>
      <c r="AB36" s="9" t="s">
        <v>114</v>
      </c>
      <c r="AC36" s="9" t="s">
        <v>124</v>
      </c>
      <c r="AD36" s="15">
        <v>44012</v>
      </c>
      <c r="AE36" s="39" t="s">
        <v>125</v>
      </c>
      <c r="AF36" s="35">
        <v>5</v>
      </c>
      <c r="AG36" s="10" t="s">
        <v>126</v>
      </c>
      <c r="AH36" s="35"/>
      <c r="AI36" s="31">
        <f>FAR[[#This Row],[EUL]]</f>
        <v>6</v>
      </c>
      <c r="AJ36" s="31">
        <f>FAR[[#This Row],[Opening RUL 30 June 2026]]-1</f>
        <v>0</v>
      </c>
      <c r="AK36" s="10" t="s">
        <v>127</v>
      </c>
      <c r="AL36" s="38">
        <v>0</v>
      </c>
      <c r="AM36" s="38">
        <v>9463</v>
      </c>
      <c r="AN36" s="13">
        <v>0</v>
      </c>
      <c r="AO36" s="13">
        <v>0</v>
      </c>
      <c r="AP36" s="13">
        <v>0</v>
      </c>
      <c r="AQ36" s="38">
        <v>9463</v>
      </c>
      <c r="AR36" s="38">
        <v>0</v>
      </c>
      <c r="AS36" s="38"/>
      <c r="AT36" s="38"/>
      <c r="AU36" s="38"/>
      <c r="AV36" s="13">
        <v>0</v>
      </c>
      <c r="AW36" s="38"/>
      <c r="AX36" s="13" t="s">
        <v>114</v>
      </c>
      <c r="AY36" s="37"/>
      <c r="AZ36" s="38"/>
      <c r="BA36" s="13">
        <v>-637.7802739726028</v>
      </c>
      <c r="BB36" s="38"/>
      <c r="BC36" s="13" t="s">
        <v>116</v>
      </c>
      <c r="BD36" s="38"/>
      <c r="BE36" s="13">
        <f>FAR[[#This Row],[Accumulated depreciation (Opening balance)]]+FAR[[#This Row],[Depreciation YTD]]</f>
        <v>-3192</v>
      </c>
      <c r="BF36" s="38"/>
      <c r="BG36" s="38"/>
      <c r="BH36" s="38"/>
      <c r="BI36" s="38"/>
      <c r="BJ36" s="38"/>
      <c r="BK36" s="29">
        <f>FAR[[#This Row],[Cost Price (closing balance)]]+FAR[[#This Row],[Accumulated depreciation (Closing balance)]]</f>
        <v>0</v>
      </c>
      <c r="BL36" s="38">
        <f>FAR[[#This Row],[Accumulated depreciation (Opening balance)]]</f>
        <v>-3014.666666666667</v>
      </c>
      <c r="BM36" s="38">
        <f>FAR[[#This Row],[Depreciation YTD]]</f>
        <v>-177.33333333333303</v>
      </c>
      <c r="BN36" s="38">
        <f>FAR[[#This Row],[Accumulated depreciation (Closing balance)]]</f>
        <v>-3192</v>
      </c>
      <c r="BO36" s="34"/>
      <c r="BP36" s="34"/>
      <c r="BQ36" s="34"/>
      <c r="BR36" s="34"/>
      <c r="BS36" t="e">
        <v>#N/A</v>
      </c>
    </row>
    <row r="37" spans="1:71" s="3" customFormat="1">
      <c r="A37" s="34">
        <v>0</v>
      </c>
      <c r="B37" s="35"/>
      <c r="C37" s="9" t="s">
        <v>54</v>
      </c>
      <c r="D37" s="10" t="s">
        <v>1</v>
      </c>
      <c r="E37" s="9" t="s">
        <v>115</v>
      </c>
      <c r="F37" s="36" t="s">
        <v>99</v>
      </c>
      <c r="G37" s="9" t="s">
        <v>100</v>
      </c>
      <c r="H37" s="34" t="s">
        <v>107</v>
      </c>
      <c r="I37" s="9" t="s">
        <v>100</v>
      </c>
      <c r="J37" s="36" t="s">
        <v>101</v>
      </c>
      <c r="K37" s="34" t="s">
        <v>108</v>
      </c>
      <c r="L37" s="34" t="s">
        <v>108</v>
      </c>
      <c r="M37" s="34" t="s">
        <v>108</v>
      </c>
      <c r="N37" s="9" t="s">
        <v>100</v>
      </c>
      <c r="O37" s="34" t="s">
        <v>107</v>
      </c>
      <c r="P37" s="9" t="s">
        <v>100</v>
      </c>
      <c r="Q37" s="34" t="s">
        <v>107</v>
      </c>
      <c r="R37" s="34" t="s">
        <v>112</v>
      </c>
      <c r="S37" s="10" t="s">
        <v>119</v>
      </c>
      <c r="T37" s="10" t="s">
        <v>130</v>
      </c>
      <c r="U37" s="10" t="s">
        <v>120</v>
      </c>
      <c r="V37" s="10" t="s">
        <v>101</v>
      </c>
      <c r="W37" s="10" t="s">
        <v>121</v>
      </c>
      <c r="X37" s="10" t="s">
        <v>122</v>
      </c>
      <c r="Y37" s="10" t="s">
        <v>123</v>
      </c>
      <c r="Z37" s="37">
        <v>1</v>
      </c>
      <c r="AA37" s="33">
        <v>43889</v>
      </c>
      <c r="AB37" s="9" t="s">
        <v>114</v>
      </c>
      <c r="AC37" s="9" t="s">
        <v>124</v>
      </c>
      <c r="AD37" s="15">
        <v>44012</v>
      </c>
      <c r="AE37" s="39" t="s">
        <v>125</v>
      </c>
      <c r="AF37" s="35">
        <v>5</v>
      </c>
      <c r="AG37" s="10" t="s">
        <v>126</v>
      </c>
      <c r="AH37" s="35"/>
      <c r="AI37" s="31">
        <f>FAR[[#This Row],[EUL]]</f>
        <v>6</v>
      </c>
      <c r="AJ37" s="31">
        <f>FAR[[#This Row],[Opening RUL 30 June 2026]]-1</f>
        <v>0</v>
      </c>
      <c r="AK37" s="10" t="s">
        <v>127</v>
      </c>
      <c r="AL37" s="38">
        <v>0</v>
      </c>
      <c r="AM37" s="38">
        <v>9463</v>
      </c>
      <c r="AN37" s="13">
        <v>0</v>
      </c>
      <c r="AO37" s="13">
        <v>0</v>
      </c>
      <c r="AP37" s="13">
        <v>0</v>
      </c>
      <c r="AQ37" s="38">
        <v>9463</v>
      </c>
      <c r="AR37" s="38">
        <v>0</v>
      </c>
      <c r="AS37" s="38"/>
      <c r="AT37" s="38"/>
      <c r="AU37" s="38"/>
      <c r="AV37" s="13">
        <v>0</v>
      </c>
      <c r="AW37" s="38"/>
      <c r="AX37" s="13" t="s">
        <v>114</v>
      </c>
      <c r="AY37" s="37"/>
      <c r="AZ37" s="38"/>
      <c r="BA37" s="13">
        <v>-637.7802739726028</v>
      </c>
      <c r="BB37" s="38"/>
      <c r="BC37" s="13" t="s">
        <v>116</v>
      </c>
      <c r="BD37" s="38"/>
      <c r="BE37" s="13">
        <f>FAR[[#This Row],[Accumulated depreciation (Opening balance)]]+FAR[[#This Row],[Depreciation YTD]]</f>
        <v>-3192</v>
      </c>
      <c r="BF37" s="38"/>
      <c r="BG37" s="38"/>
      <c r="BH37" s="38"/>
      <c r="BI37" s="38"/>
      <c r="BJ37" s="38"/>
      <c r="BK37" s="29">
        <f>FAR[[#This Row],[Cost Price (closing balance)]]+FAR[[#This Row],[Accumulated depreciation (Closing balance)]]</f>
        <v>0</v>
      </c>
      <c r="BL37" s="38">
        <f>FAR[[#This Row],[Accumulated depreciation (Opening balance)]]</f>
        <v>-3014.666666666667</v>
      </c>
      <c r="BM37" s="38">
        <f>FAR[[#This Row],[Depreciation YTD]]</f>
        <v>-177.33333333333303</v>
      </c>
      <c r="BN37" s="38">
        <f>FAR[[#This Row],[Accumulated depreciation (Closing balance)]]</f>
        <v>-3192</v>
      </c>
      <c r="BO37" s="34"/>
      <c r="BP37" s="34"/>
      <c r="BQ37" s="34"/>
      <c r="BR37" s="34"/>
      <c r="BS37" t="e">
        <v>#N/A</v>
      </c>
    </row>
    <row r="38" spans="1:71" s="3" customFormat="1">
      <c r="A38" s="34">
        <v>0</v>
      </c>
      <c r="B38" s="35"/>
      <c r="C38" s="9" t="s">
        <v>54</v>
      </c>
      <c r="D38" s="10" t="s">
        <v>1</v>
      </c>
      <c r="E38" s="9" t="s">
        <v>115</v>
      </c>
      <c r="F38" s="36" t="s">
        <v>99</v>
      </c>
      <c r="G38" s="9" t="s">
        <v>100</v>
      </c>
      <c r="H38" s="34" t="s">
        <v>107</v>
      </c>
      <c r="I38" s="9" t="s">
        <v>100</v>
      </c>
      <c r="J38" s="36" t="s">
        <v>101</v>
      </c>
      <c r="K38" s="34" t="s">
        <v>108</v>
      </c>
      <c r="L38" s="34" t="s">
        <v>108</v>
      </c>
      <c r="M38" s="34" t="s">
        <v>108</v>
      </c>
      <c r="N38" s="9" t="s">
        <v>100</v>
      </c>
      <c r="O38" s="34" t="s">
        <v>107</v>
      </c>
      <c r="P38" s="9" t="s">
        <v>100</v>
      </c>
      <c r="Q38" s="34" t="s">
        <v>107</v>
      </c>
      <c r="R38" s="34" t="s">
        <v>112</v>
      </c>
      <c r="S38" s="10" t="s">
        <v>119</v>
      </c>
      <c r="T38" s="10" t="s">
        <v>130</v>
      </c>
      <c r="U38" s="10" t="s">
        <v>120</v>
      </c>
      <c r="V38" s="10" t="s">
        <v>101</v>
      </c>
      <c r="W38" s="10" t="s">
        <v>121</v>
      </c>
      <c r="X38" s="10" t="s">
        <v>122</v>
      </c>
      <c r="Y38" s="10" t="s">
        <v>123</v>
      </c>
      <c r="Z38" s="37">
        <v>1</v>
      </c>
      <c r="AA38" s="33">
        <v>43889</v>
      </c>
      <c r="AB38" s="9" t="s">
        <v>114</v>
      </c>
      <c r="AC38" s="9" t="s">
        <v>124</v>
      </c>
      <c r="AD38" s="15">
        <v>44012</v>
      </c>
      <c r="AE38" s="39" t="s">
        <v>125</v>
      </c>
      <c r="AF38" s="35">
        <v>5</v>
      </c>
      <c r="AG38" s="10" t="s">
        <v>126</v>
      </c>
      <c r="AH38" s="35"/>
      <c r="AI38" s="31">
        <f>FAR[[#This Row],[EUL]]</f>
        <v>6</v>
      </c>
      <c r="AJ38" s="31">
        <f>FAR[[#This Row],[Opening RUL 30 June 2026]]-1</f>
        <v>0</v>
      </c>
      <c r="AK38" s="10" t="s">
        <v>127</v>
      </c>
      <c r="AL38" s="38">
        <v>0</v>
      </c>
      <c r="AM38" s="38">
        <v>9463</v>
      </c>
      <c r="AN38" s="13">
        <v>0</v>
      </c>
      <c r="AO38" s="13">
        <v>0</v>
      </c>
      <c r="AP38" s="13">
        <v>0</v>
      </c>
      <c r="AQ38" s="38">
        <v>9463</v>
      </c>
      <c r="AR38" s="38">
        <v>0</v>
      </c>
      <c r="AS38" s="38"/>
      <c r="AT38" s="38"/>
      <c r="AU38" s="38"/>
      <c r="AV38" s="13">
        <v>0</v>
      </c>
      <c r="AW38" s="38"/>
      <c r="AX38" s="13" t="s">
        <v>114</v>
      </c>
      <c r="AY38" s="37"/>
      <c r="AZ38" s="38"/>
      <c r="BA38" s="13">
        <v>-637.7802739726028</v>
      </c>
      <c r="BB38" s="38"/>
      <c r="BC38" s="13" t="s">
        <v>116</v>
      </c>
      <c r="BD38" s="38"/>
      <c r="BE38" s="13">
        <f>FAR[[#This Row],[Accumulated depreciation (Opening balance)]]+FAR[[#This Row],[Depreciation YTD]]</f>
        <v>-3192</v>
      </c>
      <c r="BF38" s="38"/>
      <c r="BG38" s="38"/>
      <c r="BH38" s="38"/>
      <c r="BI38" s="38"/>
      <c r="BJ38" s="38"/>
      <c r="BK38" s="29">
        <f>FAR[[#This Row],[Cost Price (closing balance)]]+FAR[[#This Row],[Accumulated depreciation (Closing balance)]]</f>
        <v>0</v>
      </c>
      <c r="BL38" s="38">
        <f>FAR[[#This Row],[Accumulated depreciation (Opening balance)]]</f>
        <v>-3014.666666666667</v>
      </c>
      <c r="BM38" s="38">
        <f>FAR[[#This Row],[Depreciation YTD]]</f>
        <v>-177.33333333333303</v>
      </c>
      <c r="BN38" s="38">
        <f>FAR[[#This Row],[Accumulated depreciation (Closing balance)]]</f>
        <v>-3192</v>
      </c>
      <c r="BO38" s="34"/>
      <c r="BP38" s="34"/>
      <c r="BQ38" s="34"/>
      <c r="BR38" s="34"/>
      <c r="BS38" t="e">
        <v>#N/A</v>
      </c>
    </row>
    <row r="39" spans="1:71" s="3" customFormat="1">
      <c r="A39" s="34">
        <v>0</v>
      </c>
      <c r="B39" s="35"/>
      <c r="C39" s="9" t="s">
        <v>54</v>
      </c>
      <c r="D39" s="10" t="s">
        <v>1</v>
      </c>
      <c r="E39" s="9" t="s">
        <v>115</v>
      </c>
      <c r="F39" s="36" t="s">
        <v>99</v>
      </c>
      <c r="G39" s="9" t="s">
        <v>100</v>
      </c>
      <c r="H39" s="34" t="s">
        <v>107</v>
      </c>
      <c r="I39" s="9" t="s">
        <v>100</v>
      </c>
      <c r="J39" s="36" t="s">
        <v>101</v>
      </c>
      <c r="K39" s="34" t="s">
        <v>108</v>
      </c>
      <c r="L39" s="34" t="s">
        <v>108</v>
      </c>
      <c r="M39" s="34" t="s">
        <v>108</v>
      </c>
      <c r="N39" s="9" t="s">
        <v>100</v>
      </c>
      <c r="O39" s="34" t="s">
        <v>107</v>
      </c>
      <c r="P39" s="9" t="s">
        <v>100</v>
      </c>
      <c r="Q39" s="34" t="s">
        <v>107</v>
      </c>
      <c r="R39" s="34" t="s">
        <v>112</v>
      </c>
      <c r="S39" s="10" t="s">
        <v>119</v>
      </c>
      <c r="T39" s="10" t="s">
        <v>130</v>
      </c>
      <c r="U39" s="10" t="s">
        <v>120</v>
      </c>
      <c r="V39" s="10" t="s">
        <v>101</v>
      </c>
      <c r="W39" s="10" t="s">
        <v>121</v>
      </c>
      <c r="X39" s="10" t="s">
        <v>122</v>
      </c>
      <c r="Y39" s="10" t="s">
        <v>123</v>
      </c>
      <c r="Z39" s="37">
        <v>1</v>
      </c>
      <c r="AA39" s="33">
        <v>43889</v>
      </c>
      <c r="AB39" s="9" t="s">
        <v>114</v>
      </c>
      <c r="AC39" s="9" t="s">
        <v>124</v>
      </c>
      <c r="AD39" s="15">
        <v>44012</v>
      </c>
      <c r="AE39" s="39" t="s">
        <v>125</v>
      </c>
      <c r="AF39" s="35">
        <v>5</v>
      </c>
      <c r="AG39" s="10" t="s">
        <v>126</v>
      </c>
      <c r="AH39" s="35"/>
      <c r="AI39" s="31">
        <f>FAR[[#This Row],[EUL]]</f>
        <v>6</v>
      </c>
      <c r="AJ39" s="31">
        <f>FAR[[#This Row],[Opening RUL 30 June 2026]]-1</f>
        <v>0</v>
      </c>
      <c r="AK39" s="10" t="s">
        <v>127</v>
      </c>
      <c r="AL39" s="38">
        <v>0</v>
      </c>
      <c r="AM39" s="38">
        <v>9463</v>
      </c>
      <c r="AN39" s="13">
        <v>0</v>
      </c>
      <c r="AO39" s="13">
        <v>0</v>
      </c>
      <c r="AP39" s="13">
        <v>0</v>
      </c>
      <c r="AQ39" s="38">
        <v>9463</v>
      </c>
      <c r="AR39" s="38">
        <v>0</v>
      </c>
      <c r="AS39" s="38"/>
      <c r="AT39" s="38"/>
      <c r="AU39" s="38"/>
      <c r="AV39" s="13">
        <v>0</v>
      </c>
      <c r="AW39" s="38"/>
      <c r="AX39" s="13" t="s">
        <v>114</v>
      </c>
      <c r="AY39" s="37"/>
      <c r="AZ39" s="38"/>
      <c r="BA39" s="13">
        <v>-637.7802739726028</v>
      </c>
      <c r="BB39" s="38"/>
      <c r="BC39" s="13" t="s">
        <v>116</v>
      </c>
      <c r="BD39" s="38"/>
      <c r="BE39" s="13">
        <f>FAR[[#This Row],[Accumulated depreciation (Opening balance)]]+FAR[[#This Row],[Depreciation YTD]]</f>
        <v>-3192</v>
      </c>
      <c r="BF39" s="38"/>
      <c r="BG39" s="38"/>
      <c r="BH39" s="38"/>
      <c r="BI39" s="38"/>
      <c r="BJ39" s="38"/>
      <c r="BK39" s="29">
        <f>FAR[[#This Row],[Cost Price (closing balance)]]+FAR[[#This Row],[Accumulated depreciation (Closing balance)]]</f>
        <v>0</v>
      </c>
      <c r="BL39" s="38">
        <f>FAR[[#This Row],[Accumulated depreciation (Opening balance)]]</f>
        <v>-3014.666666666667</v>
      </c>
      <c r="BM39" s="38">
        <f>FAR[[#This Row],[Depreciation YTD]]</f>
        <v>-177.33333333333303</v>
      </c>
      <c r="BN39" s="38">
        <f>FAR[[#This Row],[Accumulated depreciation (Closing balance)]]</f>
        <v>-3192</v>
      </c>
      <c r="BO39" s="34"/>
      <c r="BP39" s="34"/>
      <c r="BQ39" s="34"/>
      <c r="BR39" s="34"/>
      <c r="BS39" t="e">
        <v>#N/A</v>
      </c>
    </row>
    <row r="40" spans="1:71" s="3" customFormat="1">
      <c r="A40" s="34">
        <v>0</v>
      </c>
      <c r="B40" s="35"/>
      <c r="C40" s="9" t="s">
        <v>54</v>
      </c>
      <c r="D40" s="10" t="s">
        <v>1</v>
      </c>
      <c r="E40" s="9" t="s">
        <v>115</v>
      </c>
      <c r="F40" s="36" t="s">
        <v>99</v>
      </c>
      <c r="G40" s="9" t="s">
        <v>100</v>
      </c>
      <c r="H40" s="34" t="s">
        <v>107</v>
      </c>
      <c r="I40" s="9" t="s">
        <v>100</v>
      </c>
      <c r="J40" s="36" t="s">
        <v>101</v>
      </c>
      <c r="K40" s="34" t="s">
        <v>108</v>
      </c>
      <c r="L40" s="34" t="s">
        <v>108</v>
      </c>
      <c r="M40" s="34" t="s">
        <v>108</v>
      </c>
      <c r="N40" s="9" t="s">
        <v>100</v>
      </c>
      <c r="O40" s="34" t="s">
        <v>107</v>
      </c>
      <c r="P40" s="9" t="s">
        <v>100</v>
      </c>
      <c r="Q40" s="34" t="s">
        <v>107</v>
      </c>
      <c r="R40" s="34" t="s">
        <v>112</v>
      </c>
      <c r="S40" s="10" t="s">
        <v>119</v>
      </c>
      <c r="T40" s="10" t="s">
        <v>130</v>
      </c>
      <c r="U40" s="10" t="s">
        <v>120</v>
      </c>
      <c r="V40" s="10" t="s">
        <v>101</v>
      </c>
      <c r="W40" s="10" t="s">
        <v>121</v>
      </c>
      <c r="X40" s="10" t="s">
        <v>122</v>
      </c>
      <c r="Y40" s="10" t="s">
        <v>123</v>
      </c>
      <c r="Z40" s="37">
        <v>1</v>
      </c>
      <c r="AA40" s="33">
        <v>43889</v>
      </c>
      <c r="AB40" s="9" t="s">
        <v>114</v>
      </c>
      <c r="AC40" s="9" t="s">
        <v>124</v>
      </c>
      <c r="AD40" s="15">
        <v>44012</v>
      </c>
      <c r="AE40" s="39" t="s">
        <v>125</v>
      </c>
      <c r="AF40" s="35">
        <v>5</v>
      </c>
      <c r="AG40" s="10" t="s">
        <v>126</v>
      </c>
      <c r="AH40" s="35"/>
      <c r="AI40" s="31">
        <f>FAR[[#This Row],[EUL]]</f>
        <v>6</v>
      </c>
      <c r="AJ40" s="31">
        <f>FAR[[#This Row],[Opening RUL 30 June 2026]]-1</f>
        <v>0</v>
      </c>
      <c r="AK40" s="10" t="s">
        <v>127</v>
      </c>
      <c r="AL40" s="38">
        <v>0</v>
      </c>
      <c r="AM40" s="38">
        <v>9463</v>
      </c>
      <c r="AN40" s="13">
        <v>0</v>
      </c>
      <c r="AO40" s="13">
        <v>0</v>
      </c>
      <c r="AP40" s="13">
        <v>0</v>
      </c>
      <c r="AQ40" s="38">
        <v>9463</v>
      </c>
      <c r="AR40" s="38">
        <v>0</v>
      </c>
      <c r="AS40" s="38"/>
      <c r="AT40" s="38"/>
      <c r="AU40" s="38"/>
      <c r="AV40" s="13">
        <v>0</v>
      </c>
      <c r="AW40" s="38"/>
      <c r="AX40" s="13" t="s">
        <v>114</v>
      </c>
      <c r="AY40" s="37"/>
      <c r="AZ40" s="38"/>
      <c r="BA40" s="13">
        <v>-637.7802739726028</v>
      </c>
      <c r="BB40" s="38"/>
      <c r="BC40" s="13" t="s">
        <v>116</v>
      </c>
      <c r="BD40" s="38"/>
      <c r="BE40" s="13">
        <f>FAR[[#This Row],[Accumulated depreciation (Opening balance)]]+FAR[[#This Row],[Depreciation YTD]]</f>
        <v>-3192</v>
      </c>
      <c r="BF40" s="38"/>
      <c r="BG40" s="38"/>
      <c r="BH40" s="38"/>
      <c r="BI40" s="38"/>
      <c r="BJ40" s="38"/>
      <c r="BK40" s="29">
        <f>FAR[[#This Row],[Cost Price (closing balance)]]+FAR[[#This Row],[Accumulated depreciation (Closing balance)]]</f>
        <v>0</v>
      </c>
      <c r="BL40" s="38">
        <f>FAR[[#This Row],[Accumulated depreciation (Opening balance)]]</f>
        <v>-3014.666666666667</v>
      </c>
      <c r="BM40" s="38">
        <f>FAR[[#This Row],[Depreciation YTD]]</f>
        <v>-177.33333333333303</v>
      </c>
      <c r="BN40" s="38">
        <f>FAR[[#This Row],[Accumulated depreciation (Closing balance)]]</f>
        <v>-3192</v>
      </c>
      <c r="BO40" s="34"/>
      <c r="BP40" s="34"/>
      <c r="BQ40" s="34"/>
      <c r="BR40" s="34"/>
      <c r="BS40" t="e">
        <v>#N/A</v>
      </c>
    </row>
    <row r="41" spans="1:71" s="3" customFormat="1">
      <c r="A41" s="34">
        <v>0</v>
      </c>
      <c r="B41" s="35"/>
      <c r="C41" s="9" t="s">
        <v>54</v>
      </c>
      <c r="D41" s="10" t="s">
        <v>1</v>
      </c>
      <c r="E41" s="9" t="s">
        <v>115</v>
      </c>
      <c r="F41" s="36" t="s">
        <v>99</v>
      </c>
      <c r="G41" s="9" t="s">
        <v>100</v>
      </c>
      <c r="H41" s="34" t="s">
        <v>107</v>
      </c>
      <c r="I41" s="9" t="s">
        <v>100</v>
      </c>
      <c r="J41" s="36" t="s">
        <v>101</v>
      </c>
      <c r="K41" s="34" t="s">
        <v>108</v>
      </c>
      <c r="L41" s="34" t="s">
        <v>108</v>
      </c>
      <c r="M41" s="34" t="s">
        <v>108</v>
      </c>
      <c r="N41" s="9" t="s">
        <v>100</v>
      </c>
      <c r="O41" s="34" t="s">
        <v>107</v>
      </c>
      <c r="P41" s="9" t="s">
        <v>100</v>
      </c>
      <c r="Q41" s="34" t="s">
        <v>107</v>
      </c>
      <c r="R41" s="34" t="s">
        <v>112</v>
      </c>
      <c r="S41" s="10" t="s">
        <v>119</v>
      </c>
      <c r="T41" s="10" t="s">
        <v>130</v>
      </c>
      <c r="U41" s="10" t="s">
        <v>120</v>
      </c>
      <c r="V41" s="10" t="s">
        <v>101</v>
      </c>
      <c r="W41" s="10" t="s">
        <v>121</v>
      </c>
      <c r="X41" s="10" t="s">
        <v>122</v>
      </c>
      <c r="Y41" s="10" t="s">
        <v>123</v>
      </c>
      <c r="Z41" s="37">
        <v>1</v>
      </c>
      <c r="AA41" s="33">
        <v>43889</v>
      </c>
      <c r="AB41" s="9" t="s">
        <v>114</v>
      </c>
      <c r="AC41" s="9" t="s">
        <v>124</v>
      </c>
      <c r="AD41" s="15">
        <v>44012</v>
      </c>
      <c r="AE41" s="39" t="s">
        <v>125</v>
      </c>
      <c r="AF41" s="35">
        <v>5</v>
      </c>
      <c r="AG41" s="10" t="s">
        <v>126</v>
      </c>
      <c r="AH41" s="35"/>
      <c r="AI41" s="31">
        <f>FAR[[#This Row],[EUL]]</f>
        <v>6</v>
      </c>
      <c r="AJ41" s="31">
        <f>FAR[[#This Row],[Opening RUL 30 June 2026]]-1</f>
        <v>0</v>
      </c>
      <c r="AK41" s="10" t="s">
        <v>127</v>
      </c>
      <c r="AL41" s="38">
        <v>0</v>
      </c>
      <c r="AM41" s="38">
        <v>9463</v>
      </c>
      <c r="AN41" s="13">
        <v>0</v>
      </c>
      <c r="AO41" s="13">
        <v>0</v>
      </c>
      <c r="AP41" s="13">
        <v>0</v>
      </c>
      <c r="AQ41" s="38">
        <v>9463</v>
      </c>
      <c r="AR41" s="38">
        <v>0</v>
      </c>
      <c r="AS41" s="38"/>
      <c r="AT41" s="38"/>
      <c r="AU41" s="38"/>
      <c r="AV41" s="13">
        <v>0</v>
      </c>
      <c r="AW41" s="38"/>
      <c r="AX41" s="13" t="s">
        <v>114</v>
      </c>
      <c r="AY41" s="37"/>
      <c r="AZ41" s="38"/>
      <c r="BA41" s="13">
        <v>-637.7802739726028</v>
      </c>
      <c r="BB41" s="38"/>
      <c r="BC41" s="13" t="s">
        <v>116</v>
      </c>
      <c r="BD41" s="38"/>
      <c r="BE41" s="13">
        <f>FAR[[#This Row],[Accumulated depreciation (Opening balance)]]+FAR[[#This Row],[Depreciation YTD]]</f>
        <v>-3192</v>
      </c>
      <c r="BF41" s="38"/>
      <c r="BG41" s="38"/>
      <c r="BH41" s="38"/>
      <c r="BI41" s="38"/>
      <c r="BJ41" s="38"/>
      <c r="BK41" s="29">
        <f>FAR[[#This Row],[Cost Price (closing balance)]]+FAR[[#This Row],[Accumulated depreciation (Closing balance)]]</f>
        <v>0</v>
      </c>
      <c r="BL41" s="38">
        <f>FAR[[#This Row],[Accumulated depreciation (Opening balance)]]</f>
        <v>-3014.666666666667</v>
      </c>
      <c r="BM41" s="38">
        <f>FAR[[#This Row],[Depreciation YTD]]</f>
        <v>-177.33333333333303</v>
      </c>
      <c r="BN41" s="38">
        <f>FAR[[#This Row],[Accumulated depreciation (Closing balance)]]</f>
        <v>-3192</v>
      </c>
      <c r="BO41" s="34"/>
      <c r="BP41" s="34"/>
      <c r="BQ41" s="34"/>
      <c r="BR41" s="34"/>
      <c r="BS41" t="e">
        <v>#N/A</v>
      </c>
    </row>
    <row r="42" spans="1:71" s="3" customFormat="1">
      <c r="A42" s="34">
        <v>0</v>
      </c>
      <c r="B42" s="35"/>
      <c r="C42" s="9" t="s">
        <v>54</v>
      </c>
      <c r="D42" s="10" t="s">
        <v>1</v>
      </c>
      <c r="E42" s="9" t="s">
        <v>115</v>
      </c>
      <c r="F42" s="36" t="s">
        <v>99</v>
      </c>
      <c r="G42" s="9" t="s">
        <v>100</v>
      </c>
      <c r="H42" s="34" t="s">
        <v>107</v>
      </c>
      <c r="I42" s="9" t="s">
        <v>100</v>
      </c>
      <c r="J42" s="36" t="s">
        <v>101</v>
      </c>
      <c r="K42" s="34" t="s">
        <v>108</v>
      </c>
      <c r="L42" s="34" t="s">
        <v>108</v>
      </c>
      <c r="M42" s="34" t="s">
        <v>108</v>
      </c>
      <c r="N42" s="9" t="s">
        <v>100</v>
      </c>
      <c r="O42" s="34" t="s">
        <v>107</v>
      </c>
      <c r="P42" s="9" t="s">
        <v>100</v>
      </c>
      <c r="Q42" s="34" t="s">
        <v>107</v>
      </c>
      <c r="R42" s="34" t="s">
        <v>112</v>
      </c>
      <c r="S42" s="10" t="s">
        <v>119</v>
      </c>
      <c r="T42" s="10" t="s">
        <v>130</v>
      </c>
      <c r="U42" s="10" t="s">
        <v>120</v>
      </c>
      <c r="V42" s="10" t="s">
        <v>101</v>
      </c>
      <c r="W42" s="10" t="s">
        <v>121</v>
      </c>
      <c r="X42" s="10" t="s">
        <v>122</v>
      </c>
      <c r="Y42" s="10" t="s">
        <v>123</v>
      </c>
      <c r="Z42" s="37">
        <v>1</v>
      </c>
      <c r="AA42" s="33">
        <v>43889</v>
      </c>
      <c r="AB42" s="9" t="s">
        <v>114</v>
      </c>
      <c r="AC42" s="9" t="s">
        <v>124</v>
      </c>
      <c r="AD42" s="15">
        <v>44012</v>
      </c>
      <c r="AE42" s="39" t="s">
        <v>125</v>
      </c>
      <c r="AF42" s="35">
        <v>5</v>
      </c>
      <c r="AG42" s="10" t="s">
        <v>126</v>
      </c>
      <c r="AH42" s="35"/>
      <c r="AI42" s="31">
        <f>FAR[[#This Row],[EUL]]</f>
        <v>6</v>
      </c>
      <c r="AJ42" s="31">
        <f>FAR[[#This Row],[Opening RUL 30 June 2026]]-1</f>
        <v>0</v>
      </c>
      <c r="AK42" s="10" t="s">
        <v>127</v>
      </c>
      <c r="AL42" s="38">
        <v>0</v>
      </c>
      <c r="AM42" s="38">
        <v>9463</v>
      </c>
      <c r="AN42" s="13">
        <v>0</v>
      </c>
      <c r="AO42" s="13">
        <v>0</v>
      </c>
      <c r="AP42" s="13">
        <v>0</v>
      </c>
      <c r="AQ42" s="38">
        <v>9463</v>
      </c>
      <c r="AR42" s="38">
        <v>0</v>
      </c>
      <c r="AS42" s="38"/>
      <c r="AT42" s="38"/>
      <c r="AU42" s="38"/>
      <c r="AV42" s="13">
        <v>0</v>
      </c>
      <c r="AW42" s="38"/>
      <c r="AX42" s="13" t="s">
        <v>114</v>
      </c>
      <c r="AY42" s="37"/>
      <c r="AZ42" s="38"/>
      <c r="BA42" s="13">
        <v>-637.7802739726028</v>
      </c>
      <c r="BB42" s="38"/>
      <c r="BC42" s="13" t="s">
        <v>116</v>
      </c>
      <c r="BD42" s="38"/>
      <c r="BE42" s="13">
        <f>FAR[[#This Row],[Accumulated depreciation (Opening balance)]]+FAR[[#This Row],[Depreciation YTD]]</f>
        <v>-3192</v>
      </c>
      <c r="BF42" s="38"/>
      <c r="BG42" s="38"/>
      <c r="BH42" s="38"/>
      <c r="BI42" s="38"/>
      <c r="BJ42" s="38"/>
      <c r="BK42" s="29">
        <f>FAR[[#This Row],[Cost Price (closing balance)]]+FAR[[#This Row],[Accumulated depreciation (Closing balance)]]</f>
        <v>0</v>
      </c>
      <c r="BL42" s="38">
        <f>FAR[[#This Row],[Accumulated depreciation (Opening balance)]]</f>
        <v>-3014.666666666667</v>
      </c>
      <c r="BM42" s="38">
        <f>FAR[[#This Row],[Depreciation YTD]]</f>
        <v>-177.33333333333303</v>
      </c>
      <c r="BN42" s="38">
        <f>FAR[[#This Row],[Accumulated depreciation (Closing balance)]]</f>
        <v>-3192</v>
      </c>
      <c r="BO42" s="34"/>
      <c r="BP42" s="34"/>
      <c r="BQ42" s="34"/>
      <c r="BR42" s="34"/>
      <c r="BS42" t="e">
        <v>#N/A</v>
      </c>
    </row>
    <row r="43" spans="1:71" s="3" customFormat="1">
      <c r="A43" s="34">
        <v>0</v>
      </c>
      <c r="B43" s="35"/>
      <c r="C43" s="9" t="s">
        <v>54</v>
      </c>
      <c r="D43" s="10" t="s">
        <v>1</v>
      </c>
      <c r="E43" s="9" t="s">
        <v>115</v>
      </c>
      <c r="F43" s="36" t="s">
        <v>99</v>
      </c>
      <c r="G43" s="9" t="s">
        <v>100</v>
      </c>
      <c r="H43" s="34" t="s">
        <v>107</v>
      </c>
      <c r="I43" s="9" t="s">
        <v>100</v>
      </c>
      <c r="J43" s="36" t="s">
        <v>101</v>
      </c>
      <c r="K43" s="34" t="s">
        <v>108</v>
      </c>
      <c r="L43" s="34" t="s">
        <v>108</v>
      </c>
      <c r="M43" s="34" t="s">
        <v>108</v>
      </c>
      <c r="N43" s="9" t="s">
        <v>100</v>
      </c>
      <c r="O43" s="34" t="s">
        <v>107</v>
      </c>
      <c r="P43" s="9" t="s">
        <v>100</v>
      </c>
      <c r="Q43" s="34" t="s">
        <v>107</v>
      </c>
      <c r="R43" s="34" t="s">
        <v>113</v>
      </c>
      <c r="S43" s="10" t="s">
        <v>119</v>
      </c>
      <c r="T43" s="10" t="s">
        <v>130</v>
      </c>
      <c r="U43" s="10" t="s">
        <v>120</v>
      </c>
      <c r="V43" s="10" t="s">
        <v>101</v>
      </c>
      <c r="W43" s="10" t="s">
        <v>121</v>
      </c>
      <c r="X43" s="10" t="s">
        <v>122</v>
      </c>
      <c r="Y43" s="10" t="s">
        <v>123</v>
      </c>
      <c r="Z43" s="37">
        <v>1</v>
      </c>
      <c r="AA43" s="33">
        <v>43889</v>
      </c>
      <c r="AB43" s="9" t="s">
        <v>114</v>
      </c>
      <c r="AC43" s="9" t="s">
        <v>124</v>
      </c>
      <c r="AD43" s="15">
        <v>44012</v>
      </c>
      <c r="AE43" s="39" t="s">
        <v>125</v>
      </c>
      <c r="AF43" s="35">
        <v>5</v>
      </c>
      <c r="AG43" s="10" t="s">
        <v>126</v>
      </c>
      <c r="AH43" s="35"/>
      <c r="AI43" s="31">
        <f>FAR[[#This Row],[EUL]]</f>
        <v>6</v>
      </c>
      <c r="AJ43" s="31">
        <f>FAR[[#This Row],[Opening RUL 30 June 2026]]-1</f>
        <v>0</v>
      </c>
      <c r="AK43" s="10" t="s">
        <v>127</v>
      </c>
      <c r="AL43" s="38">
        <v>0</v>
      </c>
      <c r="AM43" s="38">
        <v>1265</v>
      </c>
      <c r="AN43" s="13">
        <v>0</v>
      </c>
      <c r="AO43" s="13">
        <v>0</v>
      </c>
      <c r="AP43" s="13">
        <v>0</v>
      </c>
      <c r="AQ43" s="38">
        <v>1265</v>
      </c>
      <c r="AR43" s="38">
        <v>0</v>
      </c>
      <c r="AS43" s="38"/>
      <c r="AT43" s="38"/>
      <c r="AU43" s="38"/>
      <c r="AV43" s="13">
        <v>0</v>
      </c>
      <c r="AW43" s="38"/>
      <c r="AX43" s="13" t="s">
        <v>114</v>
      </c>
      <c r="AY43" s="37"/>
      <c r="AZ43" s="38"/>
      <c r="BA43" s="13">
        <v>-85.257534246575347</v>
      </c>
      <c r="BB43" s="38"/>
      <c r="BC43" s="13" t="s">
        <v>116</v>
      </c>
      <c r="BD43" s="38"/>
      <c r="BE43" s="13">
        <f>FAR[[#This Row],[Accumulated depreciation (Opening balance)]]+FAR[[#This Row],[Depreciation YTD]]</f>
        <v>-3192</v>
      </c>
      <c r="BF43" s="38"/>
      <c r="BG43" s="38"/>
      <c r="BH43" s="38"/>
      <c r="BI43" s="38"/>
      <c r="BJ43" s="38"/>
      <c r="BK43" s="29">
        <f>FAR[[#This Row],[Cost Price (closing balance)]]+FAR[[#This Row],[Accumulated depreciation (Closing balance)]]</f>
        <v>0</v>
      </c>
      <c r="BL43" s="38">
        <f>FAR[[#This Row],[Accumulated depreciation (Opening balance)]]</f>
        <v>-3014.666666666667</v>
      </c>
      <c r="BM43" s="38">
        <f>FAR[[#This Row],[Depreciation YTD]]</f>
        <v>-177.33333333333303</v>
      </c>
      <c r="BN43" s="38">
        <f>FAR[[#This Row],[Accumulated depreciation (Closing balance)]]</f>
        <v>-3192</v>
      </c>
      <c r="BO43" s="34"/>
      <c r="BP43" s="34"/>
      <c r="BQ43" s="34"/>
      <c r="BR43" s="34"/>
      <c r="BS43" t="e">
        <v>#N/A</v>
      </c>
    </row>
    <row r="44" spans="1:71" s="3" customFormat="1">
      <c r="A44" s="34">
        <v>0</v>
      </c>
      <c r="B44" s="35"/>
      <c r="C44" s="9" t="s">
        <v>54</v>
      </c>
      <c r="D44" s="10" t="s">
        <v>1</v>
      </c>
      <c r="E44" s="9" t="s">
        <v>115</v>
      </c>
      <c r="F44" s="36" t="s">
        <v>99</v>
      </c>
      <c r="G44" s="9" t="s">
        <v>100</v>
      </c>
      <c r="H44" s="34" t="s">
        <v>107</v>
      </c>
      <c r="I44" s="9" t="s">
        <v>100</v>
      </c>
      <c r="J44" s="36" t="s">
        <v>101</v>
      </c>
      <c r="K44" s="34" t="s">
        <v>108</v>
      </c>
      <c r="L44" s="34" t="s">
        <v>108</v>
      </c>
      <c r="M44" s="34" t="s">
        <v>108</v>
      </c>
      <c r="N44" s="9" t="s">
        <v>100</v>
      </c>
      <c r="O44" s="34" t="s">
        <v>107</v>
      </c>
      <c r="P44" s="9" t="s">
        <v>100</v>
      </c>
      <c r="Q44" s="34" t="s">
        <v>107</v>
      </c>
      <c r="R44" s="34" t="s">
        <v>113</v>
      </c>
      <c r="S44" s="10" t="s">
        <v>119</v>
      </c>
      <c r="T44" s="10" t="s">
        <v>130</v>
      </c>
      <c r="U44" s="10" t="s">
        <v>120</v>
      </c>
      <c r="V44" s="10" t="s">
        <v>101</v>
      </c>
      <c r="W44" s="10" t="s">
        <v>121</v>
      </c>
      <c r="X44" s="10" t="s">
        <v>122</v>
      </c>
      <c r="Y44" s="10" t="s">
        <v>123</v>
      </c>
      <c r="Z44" s="37">
        <v>1</v>
      </c>
      <c r="AA44" s="33">
        <v>43889</v>
      </c>
      <c r="AB44" s="9" t="s">
        <v>114</v>
      </c>
      <c r="AC44" s="9" t="s">
        <v>124</v>
      </c>
      <c r="AD44" s="15">
        <v>44012</v>
      </c>
      <c r="AE44" s="39" t="s">
        <v>125</v>
      </c>
      <c r="AF44" s="35">
        <v>5</v>
      </c>
      <c r="AG44" s="10" t="s">
        <v>126</v>
      </c>
      <c r="AH44" s="35"/>
      <c r="AI44" s="31">
        <f>FAR[[#This Row],[EUL]]</f>
        <v>6</v>
      </c>
      <c r="AJ44" s="31">
        <f>FAR[[#This Row],[Opening RUL 30 June 2026]]-1</f>
        <v>0</v>
      </c>
      <c r="AK44" s="10" t="s">
        <v>127</v>
      </c>
      <c r="AL44" s="38">
        <v>0</v>
      </c>
      <c r="AM44" s="38">
        <v>1265</v>
      </c>
      <c r="AN44" s="13">
        <v>0</v>
      </c>
      <c r="AO44" s="13">
        <v>0</v>
      </c>
      <c r="AP44" s="13">
        <v>0</v>
      </c>
      <c r="AQ44" s="38">
        <v>1265</v>
      </c>
      <c r="AR44" s="38">
        <v>0</v>
      </c>
      <c r="AS44" s="38"/>
      <c r="AT44" s="38"/>
      <c r="AU44" s="38"/>
      <c r="AV44" s="13">
        <v>0</v>
      </c>
      <c r="AW44" s="38"/>
      <c r="AX44" s="13" t="s">
        <v>114</v>
      </c>
      <c r="AY44" s="37"/>
      <c r="AZ44" s="38"/>
      <c r="BA44" s="13">
        <v>-85.257534246575347</v>
      </c>
      <c r="BB44" s="38"/>
      <c r="BC44" s="13" t="s">
        <v>116</v>
      </c>
      <c r="BD44" s="38"/>
      <c r="BE44" s="13">
        <f>FAR[[#This Row],[Accumulated depreciation (Opening balance)]]+FAR[[#This Row],[Depreciation YTD]]</f>
        <v>-3192</v>
      </c>
      <c r="BF44" s="38"/>
      <c r="BG44" s="38"/>
      <c r="BH44" s="38"/>
      <c r="BI44" s="38"/>
      <c r="BJ44" s="38"/>
      <c r="BK44" s="29">
        <f>FAR[[#This Row],[Cost Price (closing balance)]]+FAR[[#This Row],[Accumulated depreciation (Closing balance)]]</f>
        <v>0</v>
      </c>
      <c r="BL44" s="38">
        <f>FAR[[#This Row],[Accumulated depreciation (Opening balance)]]</f>
        <v>-3014.666666666667</v>
      </c>
      <c r="BM44" s="38">
        <f>FAR[[#This Row],[Depreciation YTD]]</f>
        <v>-177.33333333333303</v>
      </c>
      <c r="BN44" s="38">
        <f>FAR[[#This Row],[Accumulated depreciation (Closing balance)]]</f>
        <v>-3192</v>
      </c>
      <c r="BO44" s="34"/>
      <c r="BP44" s="34"/>
      <c r="BQ44" s="34"/>
      <c r="BR44" s="34"/>
      <c r="BS44" t="e">
        <v>#N/A</v>
      </c>
    </row>
    <row r="45" spans="1:71" s="111" customFormat="1">
      <c r="A45" s="34">
        <v>0</v>
      </c>
      <c r="B45" s="35"/>
      <c r="C45" s="9" t="s">
        <v>54</v>
      </c>
      <c r="D45" s="10" t="s">
        <v>1</v>
      </c>
      <c r="E45" s="9" t="s">
        <v>115</v>
      </c>
      <c r="F45" s="36" t="s">
        <v>99</v>
      </c>
      <c r="G45" s="9" t="s">
        <v>100</v>
      </c>
      <c r="H45" s="34" t="s">
        <v>107</v>
      </c>
      <c r="I45" s="9" t="s">
        <v>100</v>
      </c>
      <c r="J45" s="36" t="s">
        <v>101</v>
      </c>
      <c r="K45" s="34" t="s">
        <v>108</v>
      </c>
      <c r="L45" s="34" t="s">
        <v>108</v>
      </c>
      <c r="M45" s="34" t="s">
        <v>108</v>
      </c>
      <c r="N45" s="9" t="s">
        <v>100</v>
      </c>
      <c r="O45" s="34" t="s">
        <v>107</v>
      </c>
      <c r="P45" s="9" t="s">
        <v>100</v>
      </c>
      <c r="Q45" s="34" t="s">
        <v>107</v>
      </c>
      <c r="R45" s="34" t="s">
        <v>113</v>
      </c>
      <c r="S45" s="10" t="s">
        <v>119</v>
      </c>
      <c r="T45" s="10" t="s">
        <v>130</v>
      </c>
      <c r="U45" s="10" t="s">
        <v>120</v>
      </c>
      <c r="V45" s="10" t="s">
        <v>101</v>
      </c>
      <c r="W45" s="10" t="s">
        <v>121</v>
      </c>
      <c r="X45" s="10" t="s">
        <v>122</v>
      </c>
      <c r="Y45" s="10" t="s">
        <v>123</v>
      </c>
      <c r="Z45" s="37">
        <v>1</v>
      </c>
      <c r="AA45" s="33">
        <v>43889</v>
      </c>
      <c r="AB45" s="9" t="s">
        <v>114</v>
      </c>
      <c r="AC45" s="9" t="s">
        <v>124</v>
      </c>
      <c r="AD45" s="15">
        <v>44012</v>
      </c>
      <c r="AE45" s="39" t="s">
        <v>125</v>
      </c>
      <c r="AF45" s="35">
        <v>5</v>
      </c>
      <c r="AG45" s="10" t="s">
        <v>126</v>
      </c>
      <c r="AH45" s="35"/>
      <c r="AI45" s="31">
        <f>FAR[[#This Row],[EUL]]</f>
        <v>6</v>
      </c>
      <c r="AJ45" s="31">
        <f>FAR[[#This Row],[Opening RUL 30 June 2026]]-1</f>
        <v>0</v>
      </c>
      <c r="AK45" s="10" t="s">
        <v>127</v>
      </c>
      <c r="AL45" s="38">
        <v>0</v>
      </c>
      <c r="AM45" s="38">
        <v>1265</v>
      </c>
      <c r="AN45" s="13">
        <v>0</v>
      </c>
      <c r="AO45" s="13">
        <v>0</v>
      </c>
      <c r="AP45" s="13">
        <v>0</v>
      </c>
      <c r="AQ45" s="38">
        <v>1265</v>
      </c>
      <c r="AR45" s="38">
        <v>0</v>
      </c>
      <c r="AS45" s="38"/>
      <c r="AT45" s="38"/>
      <c r="AU45" s="38"/>
      <c r="AV45" s="13">
        <v>0</v>
      </c>
      <c r="AW45" s="38"/>
      <c r="AX45" s="13" t="s">
        <v>114</v>
      </c>
      <c r="AY45" s="37"/>
      <c r="AZ45" s="38"/>
      <c r="BA45" s="13">
        <v>-85.257534246575347</v>
      </c>
      <c r="BB45" s="38"/>
      <c r="BC45" s="13" t="s">
        <v>116</v>
      </c>
      <c r="BD45" s="38"/>
      <c r="BE45" s="13">
        <f>FAR[[#This Row],[Accumulated depreciation (Opening balance)]]+FAR[[#This Row],[Depreciation YTD]]</f>
        <v>-3192</v>
      </c>
      <c r="BF45" s="38"/>
      <c r="BG45" s="38"/>
      <c r="BH45" s="38"/>
      <c r="BI45" s="38"/>
      <c r="BJ45" s="38"/>
      <c r="BK45" s="29">
        <f>FAR[[#This Row],[Cost Price (closing balance)]]+FAR[[#This Row],[Accumulated depreciation (Closing balance)]]</f>
        <v>0</v>
      </c>
      <c r="BL45" s="38">
        <f>FAR[[#This Row],[Accumulated depreciation (Opening balance)]]</f>
        <v>-3014.666666666667</v>
      </c>
      <c r="BM45" s="38">
        <f>FAR[[#This Row],[Depreciation YTD]]</f>
        <v>-177.33333333333303</v>
      </c>
      <c r="BN45" s="38">
        <f>FAR[[#This Row],[Accumulated depreciation (Closing balance)]]</f>
        <v>-3192</v>
      </c>
      <c r="BO45" s="34"/>
      <c r="BP45" s="34"/>
      <c r="BQ45" s="34"/>
      <c r="BR45" s="34"/>
      <c r="BS45" t="e">
        <v>#N/A</v>
      </c>
    </row>
    <row r="46" spans="1:71" s="111" customFormat="1">
      <c r="A46" s="34">
        <v>0</v>
      </c>
      <c r="B46" s="35"/>
      <c r="C46" s="9" t="s">
        <v>54</v>
      </c>
      <c r="D46" s="10" t="s">
        <v>1</v>
      </c>
      <c r="E46" s="9" t="s">
        <v>115</v>
      </c>
      <c r="F46" s="36" t="s">
        <v>99</v>
      </c>
      <c r="G46" s="9" t="s">
        <v>100</v>
      </c>
      <c r="H46" s="34" t="s">
        <v>107</v>
      </c>
      <c r="I46" s="9" t="s">
        <v>100</v>
      </c>
      <c r="J46" s="36" t="s">
        <v>101</v>
      </c>
      <c r="K46" s="34" t="s">
        <v>108</v>
      </c>
      <c r="L46" s="34" t="s">
        <v>108</v>
      </c>
      <c r="M46" s="34" t="s">
        <v>108</v>
      </c>
      <c r="N46" s="9" t="s">
        <v>100</v>
      </c>
      <c r="O46" s="34" t="s">
        <v>107</v>
      </c>
      <c r="P46" s="9" t="s">
        <v>100</v>
      </c>
      <c r="Q46" s="34" t="s">
        <v>107</v>
      </c>
      <c r="R46" s="34" t="s">
        <v>113</v>
      </c>
      <c r="S46" s="10" t="s">
        <v>119</v>
      </c>
      <c r="T46" s="10" t="s">
        <v>130</v>
      </c>
      <c r="U46" s="10" t="s">
        <v>120</v>
      </c>
      <c r="V46" s="10" t="s">
        <v>101</v>
      </c>
      <c r="W46" s="10" t="s">
        <v>121</v>
      </c>
      <c r="X46" s="10" t="s">
        <v>122</v>
      </c>
      <c r="Y46" s="10" t="s">
        <v>123</v>
      </c>
      <c r="Z46" s="37">
        <v>1</v>
      </c>
      <c r="AA46" s="33">
        <v>43889</v>
      </c>
      <c r="AB46" s="9" t="s">
        <v>114</v>
      </c>
      <c r="AC46" s="9" t="s">
        <v>124</v>
      </c>
      <c r="AD46" s="15">
        <v>44012</v>
      </c>
      <c r="AE46" s="39" t="s">
        <v>125</v>
      </c>
      <c r="AF46" s="35">
        <v>5</v>
      </c>
      <c r="AG46" s="10" t="s">
        <v>126</v>
      </c>
      <c r="AH46" s="35"/>
      <c r="AI46" s="31">
        <f>FAR[[#This Row],[EUL]]</f>
        <v>6</v>
      </c>
      <c r="AJ46" s="31">
        <f>FAR[[#This Row],[Opening RUL 30 June 2026]]-1</f>
        <v>0</v>
      </c>
      <c r="AK46" s="10" t="s">
        <v>127</v>
      </c>
      <c r="AL46" s="38">
        <v>0</v>
      </c>
      <c r="AM46" s="38">
        <v>1265</v>
      </c>
      <c r="AN46" s="13">
        <v>0</v>
      </c>
      <c r="AO46" s="13">
        <v>0</v>
      </c>
      <c r="AP46" s="13">
        <v>0</v>
      </c>
      <c r="AQ46" s="38">
        <v>1265</v>
      </c>
      <c r="AR46" s="38">
        <v>0</v>
      </c>
      <c r="AS46" s="38"/>
      <c r="AT46" s="38"/>
      <c r="AU46" s="38"/>
      <c r="AV46" s="13">
        <v>0</v>
      </c>
      <c r="AW46" s="38"/>
      <c r="AX46" s="13" t="s">
        <v>114</v>
      </c>
      <c r="AY46" s="37"/>
      <c r="AZ46" s="38"/>
      <c r="BA46" s="13">
        <v>-85.257534246575347</v>
      </c>
      <c r="BB46" s="38"/>
      <c r="BC46" s="13" t="s">
        <v>116</v>
      </c>
      <c r="BD46" s="38"/>
      <c r="BE46" s="13">
        <f>FAR[[#This Row],[Accumulated depreciation (Opening balance)]]+FAR[[#This Row],[Depreciation YTD]]</f>
        <v>-3192</v>
      </c>
      <c r="BF46" s="38"/>
      <c r="BG46" s="38"/>
      <c r="BH46" s="38"/>
      <c r="BI46" s="38"/>
      <c r="BJ46" s="38"/>
      <c r="BK46" s="29">
        <f>FAR[[#This Row],[Cost Price (closing balance)]]+FAR[[#This Row],[Accumulated depreciation (Closing balance)]]</f>
        <v>0</v>
      </c>
      <c r="BL46" s="38">
        <f>FAR[[#This Row],[Accumulated depreciation (Opening balance)]]</f>
        <v>-3014.666666666667</v>
      </c>
      <c r="BM46" s="38">
        <f>FAR[[#This Row],[Depreciation YTD]]</f>
        <v>-177.33333333333303</v>
      </c>
      <c r="BN46" s="38">
        <f>FAR[[#This Row],[Accumulated depreciation (Closing balance)]]</f>
        <v>-3192</v>
      </c>
      <c r="BO46" s="34"/>
      <c r="BP46" s="34"/>
      <c r="BQ46" s="34"/>
      <c r="BR46" s="34"/>
      <c r="BS46" t="e">
        <v>#N/A</v>
      </c>
    </row>
    <row r="47" spans="1:71" s="111" customFormat="1">
      <c r="A47" s="34">
        <v>0</v>
      </c>
      <c r="B47" s="35"/>
      <c r="C47" s="9" t="s">
        <v>54</v>
      </c>
      <c r="D47" s="10" t="s">
        <v>1</v>
      </c>
      <c r="E47" s="9" t="s">
        <v>115</v>
      </c>
      <c r="F47" s="36" t="s">
        <v>99</v>
      </c>
      <c r="G47" s="9" t="s">
        <v>100</v>
      </c>
      <c r="H47" s="34" t="s">
        <v>107</v>
      </c>
      <c r="I47" s="9" t="s">
        <v>100</v>
      </c>
      <c r="J47" s="36" t="s">
        <v>101</v>
      </c>
      <c r="K47" s="34" t="s">
        <v>108</v>
      </c>
      <c r="L47" s="34" t="s">
        <v>108</v>
      </c>
      <c r="M47" s="34" t="s">
        <v>108</v>
      </c>
      <c r="N47" s="9" t="s">
        <v>100</v>
      </c>
      <c r="O47" s="34" t="s">
        <v>107</v>
      </c>
      <c r="P47" s="9" t="s">
        <v>100</v>
      </c>
      <c r="Q47" s="34" t="s">
        <v>107</v>
      </c>
      <c r="R47" s="34" t="s">
        <v>113</v>
      </c>
      <c r="S47" s="10" t="s">
        <v>119</v>
      </c>
      <c r="T47" s="10" t="s">
        <v>130</v>
      </c>
      <c r="U47" s="10" t="s">
        <v>120</v>
      </c>
      <c r="V47" s="10" t="s">
        <v>101</v>
      </c>
      <c r="W47" s="10" t="s">
        <v>121</v>
      </c>
      <c r="X47" s="10" t="s">
        <v>122</v>
      </c>
      <c r="Y47" s="10" t="s">
        <v>123</v>
      </c>
      <c r="Z47" s="37">
        <v>1</v>
      </c>
      <c r="AA47" s="33">
        <v>43889</v>
      </c>
      <c r="AB47" s="9" t="s">
        <v>114</v>
      </c>
      <c r="AC47" s="9" t="s">
        <v>124</v>
      </c>
      <c r="AD47" s="15">
        <v>44012</v>
      </c>
      <c r="AE47" s="39" t="s">
        <v>125</v>
      </c>
      <c r="AF47" s="35">
        <v>5</v>
      </c>
      <c r="AG47" s="10" t="s">
        <v>126</v>
      </c>
      <c r="AH47" s="35"/>
      <c r="AI47" s="31">
        <f>FAR[[#This Row],[EUL]]</f>
        <v>6</v>
      </c>
      <c r="AJ47" s="31">
        <f>FAR[[#This Row],[Opening RUL 30 June 2026]]-1</f>
        <v>0</v>
      </c>
      <c r="AK47" s="10" t="s">
        <v>127</v>
      </c>
      <c r="AL47" s="38">
        <v>0</v>
      </c>
      <c r="AM47" s="38">
        <v>1265</v>
      </c>
      <c r="AN47" s="13">
        <v>0</v>
      </c>
      <c r="AO47" s="13">
        <v>0</v>
      </c>
      <c r="AP47" s="13">
        <v>0</v>
      </c>
      <c r="AQ47" s="38">
        <v>1265</v>
      </c>
      <c r="AR47" s="38">
        <v>0</v>
      </c>
      <c r="AS47" s="38"/>
      <c r="AT47" s="38"/>
      <c r="AU47" s="38"/>
      <c r="AV47" s="13">
        <v>0</v>
      </c>
      <c r="AW47" s="38"/>
      <c r="AX47" s="13" t="s">
        <v>114</v>
      </c>
      <c r="AY47" s="37"/>
      <c r="AZ47" s="38"/>
      <c r="BA47" s="13">
        <v>-85.257534246575347</v>
      </c>
      <c r="BB47" s="38"/>
      <c r="BC47" s="13" t="s">
        <v>116</v>
      </c>
      <c r="BD47" s="38"/>
      <c r="BE47" s="13">
        <f>FAR[[#This Row],[Accumulated depreciation (Opening balance)]]+FAR[[#This Row],[Depreciation YTD]]</f>
        <v>-1368</v>
      </c>
      <c r="BF47" s="38"/>
      <c r="BG47" s="38"/>
      <c r="BH47" s="38"/>
      <c r="BI47" s="38"/>
      <c r="BJ47" s="38"/>
      <c r="BK47" s="29">
        <f>FAR[[#This Row],[Cost Price (closing balance)]]+FAR[[#This Row],[Accumulated depreciation (Closing balance)]]</f>
        <v>0</v>
      </c>
      <c r="BL47" s="38">
        <f>FAR[[#This Row],[Accumulated depreciation (Opening balance)]]</f>
        <v>-1292</v>
      </c>
      <c r="BM47" s="38">
        <f>FAR[[#This Row],[Depreciation YTD]]</f>
        <v>-76</v>
      </c>
      <c r="BN47" s="38">
        <f>FAR[[#This Row],[Accumulated depreciation (Closing balance)]]</f>
        <v>-1368</v>
      </c>
      <c r="BO47" s="34"/>
      <c r="BP47" s="34"/>
      <c r="BQ47" s="34"/>
      <c r="BR47" s="34"/>
      <c r="BS47" t="e">
        <v>#N/A</v>
      </c>
    </row>
    <row r="48" spans="1:71" s="111" customFormat="1">
      <c r="A48" s="34">
        <v>0</v>
      </c>
      <c r="B48" s="35"/>
      <c r="C48" s="9" t="s">
        <v>54</v>
      </c>
      <c r="D48" s="10" t="s">
        <v>1</v>
      </c>
      <c r="E48" s="9" t="s">
        <v>115</v>
      </c>
      <c r="F48" s="36" t="s">
        <v>99</v>
      </c>
      <c r="G48" s="9" t="s">
        <v>100</v>
      </c>
      <c r="H48" s="34" t="s">
        <v>107</v>
      </c>
      <c r="I48" s="9" t="s">
        <v>100</v>
      </c>
      <c r="J48" s="36" t="s">
        <v>101</v>
      </c>
      <c r="K48" s="34" t="s">
        <v>108</v>
      </c>
      <c r="L48" s="34" t="s">
        <v>108</v>
      </c>
      <c r="M48" s="34" t="s">
        <v>108</v>
      </c>
      <c r="N48" s="9" t="s">
        <v>100</v>
      </c>
      <c r="O48" s="34" t="s">
        <v>107</v>
      </c>
      <c r="P48" s="9" t="s">
        <v>100</v>
      </c>
      <c r="Q48" s="34" t="s">
        <v>107</v>
      </c>
      <c r="R48" s="34" t="s">
        <v>113</v>
      </c>
      <c r="S48" s="10" t="s">
        <v>119</v>
      </c>
      <c r="T48" s="10" t="s">
        <v>130</v>
      </c>
      <c r="U48" s="10" t="s">
        <v>120</v>
      </c>
      <c r="V48" s="10" t="s">
        <v>101</v>
      </c>
      <c r="W48" s="10" t="s">
        <v>121</v>
      </c>
      <c r="X48" s="10" t="s">
        <v>122</v>
      </c>
      <c r="Y48" s="10" t="s">
        <v>123</v>
      </c>
      <c r="Z48" s="37">
        <v>1</v>
      </c>
      <c r="AA48" s="33">
        <v>43889</v>
      </c>
      <c r="AB48" s="9" t="s">
        <v>114</v>
      </c>
      <c r="AC48" s="9" t="s">
        <v>124</v>
      </c>
      <c r="AD48" s="15">
        <v>44012</v>
      </c>
      <c r="AE48" s="39" t="s">
        <v>125</v>
      </c>
      <c r="AF48" s="35">
        <v>5</v>
      </c>
      <c r="AG48" s="10" t="s">
        <v>126</v>
      </c>
      <c r="AH48" s="35"/>
      <c r="AI48" s="31">
        <f>FAR[[#This Row],[EUL]]</f>
        <v>6</v>
      </c>
      <c r="AJ48" s="31">
        <f>FAR[[#This Row],[Opening RUL 30 June 2026]]-1</f>
        <v>0</v>
      </c>
      <c r="AK48" s="10" t="s">
        <v>127</v>
      </c>
      <c r="AL48" s="38">
        <v>0</v>
      </c>
      <c r="AM48" s="38">
        <v>1265</v>
      </c>
      <c r="AN48" s="13">
        <v>0</v>
      </c>
      <c r="AO48" s="13">
        <v>0</v>
      </c>
      <c r="AP48" s="13">
        <v>0</v>
      </c>
      <c r="AQ48" s="38">
        <v>1265</v>
      </c>
      <c r="AR48" s="38">
        <v>0</v>
      </c>
      <c r="AS48" s="38"/>
      <c r="AT48" s="38"/>
      <c r="AU48" s="38"/>
      <c r="AV48" s="13">
        <v>0</v>
      </c>
      <c r="AW48" s="38"/>
      <c r="AX48" s="13" t="s">
        <v>114</v>
      </c>
      <c r="AY48" s="37"/>
      <c r="AZ48" s="38"/>
      <c r="BA48" s="13">
        <v>-85.257534246575347</v>
      </c>
      <c r="BB48" s="38"/>
      <c r="BC48" s="13" t="s">
        <v>116</v>
      </c>
      <c r="BD48" s="38"/>
      <c r="BE48" s="13">
        <f>FAR[[#This Row],[Accumulated depreciation (Opening balance)]]+FAR[[#This Row],[Depreciation YTD]]</f>
        <v>-8208</v>
      </c>
      <c r="BF48" s="38"/>
      <c r="BG48" s="38"/>
      <c r="BH48" s="38"/>
      <c r="BI48" s="38"/>
      <c r="BJ48" s="38"/>
      <c r="BK48" s="29">
        <f>FAR[[#This Row],[Cost Price (closing balance)]]+FAR[[#This Row],[Accumulated depreciation (Closing balance)]]</f>
        <v>0</v>
      </c>
      <c r="BL48" s="38">
        <f>FAR[[#This Row],[Accumulated depreciation (Opening balance)]]</f>
        <v>-7752</v>
      </c>
      <c r="BM48" s="38">
        <f>FAR[[#This Row],[Depreciation YTD]]</f>
        <v>-456</v>
      </c>
      <c r="BN48" s="38">
        <f>FAR[[#This Row],[Accumulated depreciation (Closing balance)]]</f>
        <v>-8208</v>
      </c>
      <c r="BO48" s="34"/>
      <c r="BP48" s="34"/>
      <c r="BQ48" s="34"/>
      <c r="BR48" s="34"/>
      <c r="BS48" t="e">
        <v>#N/A</v>
      </c>
    </row>
    <row r="49" spans="1:71" s="111" customFormat="1">
      <c r="A49" s="34">
        <v>0</v>
      </c>
      <c r="B49" s="35"/>
      <c r="C49" s="9" t="s">
        <v>54</v>
      </c>
      <c r="D49" s="10" t="s">
        <v>1</v>
      </c>
      <c r="E49" s="9" t="s">
        <v>115</v>
      </c>
      <c r="F49" s="36" t="s">
        <v>99</v>
      </c>
      <c r="G49" s="9" t="s">
        <v>100</v>
      </c>
      <c r="H49" s="34" t="s">
        <v>107</v>
      </c>
      <c r="I49" s="9" t="s">
        <v>100</v>
      </c>
      <c r="J49" s="36" t="s">
        <v>101</v>
      </c>
      <c r="K49" s="34" t="s">
        <v>108</v>
      </c>
      <c r="L49" s="34" t="s">
        <v>108</v>
      </c>
      <c r="M49" s="34" t="s">
        <v>108</v>
      </c>
      <c r="N49" s="9" t="s">
        <v>100</v>
      </c>
      <c r="O49" s="34" t="s">
        <v>107</v>
      </c>
      <c r="P49" s="9" t="s">
        <v>100</v>
      </c>
      <c r="Q49" s="34" t="s">
        <v>107</v>
      </c>
      <c r="R49" s="34" t="s">
        <v>113</v>
      </c>
      <c r="S49" s="10" t="s">
        <v>119</v>
      </c>
      <c r="T49" s="10" t="s">
        <v>130</v>
      </c>
      <c r="U49" s="10" t="s">
        <v>120</v>
      </c>
      <c r="V49" s="10" t="s">
        <v>101</v>
      </c>
      <c r="W49" s="10" t="s">
        <v>121</v>
      </c>
      <c r="X49" s="10" t="s">
        <v>122</v>
      </c>
      <c r="Y49" s="10" t="s">
        <v>123</v>
      </c>
      <c r="Z49" s="37">
        <v>1</v>
      </c>
      <c r="AA49" s="33">
        <v>43889</v>
      </c>
      <c r="AB49" s="9" t="s">
        <v>114</v>
      </c>
      <c r="AC49" s="9" t="s">
        <v>124</v>
      </c>
      <c r="AD49" s="15">
        <v>44012</v>
      </c>
      <c r="AE49" s="39" t="s">
        <v>125</v>
      </c>
      <c r="AF49" s="35">
        <v>5</v>
      </c>
      <c r="AG49" s="10" t="s">
        <v>126</v>
      </c>
      <c r="AH49" s="35"/>
      <c r="AI49" s="31">
        <f>FAR[[#This Row],[EUL]]</f>
        <v>6</v>
      </c>
      <c r="AJ49" s="31">
        <f>FAR[[#This Row],[Opening RUL 30 June 2026]]-1</f>
        <v>0</v>
      </c>
      <c r="AK49" s="10" t="s">
        <v>127</v>
      </c>
      <c r="AL49" s="38">
        <v>0</v>
      </c>
      <c r="AM49" s="38">
        <v>1265</v>
      </c>
      <c r="AN49" s="13">
        <v>0</v>
      </c>
      <c r="AO49" s="13">
        <v>0</v>
      </c>
      <c r="AP49" s="13">
        <v>0</v>
      </c>
      <c r="AQ49" s="38">
        <v>1265</v>
      </c>
      <c r="AR49" s="38">
        <v>0</v>
      </c>
      <c r="AS49" s="38"/>
      <c r="AT49" s="38"/>
      <c r="AU49" s="38"/>
      <c r="AV49" s="13">
        <v>0</v>
      </c>
      <c r="AW49" s="38"/>
      <c r="AX49" s="13" t="s">
        <v>114</v>
      </c>
      <c r="AY49" s="37"/>
      <c r="AZ49" s="38"/>
      <c r="BA49" s="13">
        <v>-85.257534246575347</v>
      </c>
      <c r="BB49" s="38"/>
      <c r="BC49" s="13" t="s">
        <v>116</v>
      </c>
      <c r="BD49" s="38"/>
      <c r="BE49" s="13">
        <f>FAR[[#This Row],[Accumulated depreciation (Opening balance)]]+FAR[[#This Row],[Depreciation YTD]]</f>
        <v>-3534</v>
      </c>
      <c r="BF49" s="38"/>
      <c r="BG49" s="38"/>
      <c r="BH49" s="38"/>
      <c r="BI49" s="38"/>
      <c r="BJ49" s="38"/>
      <c r="BK49" s="29">
        <f>FAR[[#This Row],[Cost Price (closing balance)]]+FAR[[#This Row],[Accumulated depreciation (Closing balance)]]</f>
        <v>0</v>
      </c>
      <c r="BL49" s="38">
        <f>FAR[[#This Row],[Accumulated depreciation (Opening balance)]]</f>
        <v>-3337.666666666667</v>
      </c>
      <c r="BM49" s="38">
        <f>FAR[[#This Row],[Depreciation YTD]]</f>
        <v>-196.33333333333303</v>
      </c>
      <c r="BN49" s="38">
        <f>FAR[[#This Row],[Accumulated depreciation (Closing balance)]]</f>
        <v>-3534</v>
      </c>
      <c r="BO49" s="34"/>
      <c r="BP49" s="34"/>
      <c r="BQ49" s="34"/>
      <c r="BR49" s="34"/>
      <c r="BS49" t="e">
        <v>#N/A</v>
      </c>
    </row>
    <row r="50" spans="1:71" s="111" customFormat="1">
      <c r="A50" s="34">
        <v>0</v>
      </c>
      <c r="B50" s="35"/>
      <c r="C50" s="9" t="s">
        <v>54</v>
      </c>
      <c r="D50" s="10" t="s">
        <v>1</v>
      </c>
      <c r="E50" s="9" t="s">
        <v>115</v>
      </c>
      <c r="F50" s="36" t="s">
        <v>99</v>
      </c>
      <c r="G50" s="9" t="s">
        <v>100</v>
      </c>
      <c r="H50" s="34" t="s">
        <v>107</v>
      </c>
      <c r="I50" s="9" t="s">
        <v>100</v>
      </c>
      <c r="J50" s="36" t="s">
        <v>101</v>
      </c>
      <c r="K50" s="34" t="s">
        <v>108</v>
      </c>
      <c r="L50" s="34" t="s">
        <v>108</v>
      </c>
      <c r="M50" s="34" t="s">
        <v>108</v>
      </c>
      <c r="N50" s="9" t="s">
        <v>100</v>
      </c>
      <c r="O50" s="34" t="s">
        <v>107</v>
      </c>
      <c r="P50" s="9" t="s">
        <v>100</v>
      </c>
      <c r="Q50" s="34" t="s">
        <v>107</v>
      </c>
      <c r="R50" s="34" t="s">
        <v>113</v>
      </c>
      <c r="S50" s="10" t="s">
        <v>119</v>
      </c>
      <c r="T50" s="10" t="s">
        <v>130</v>
      </c>
      <c r="U50" s="10" t="s">
        <v>120</v>
      </c>
      <c r="V50" s="10" t="s">
        <v>101</v>
      </c>
      <c r="W50" s="10" t="s">
        <v>121</v>
      </c>
      <c r="X50" s="10" t="s">
        <v>122</v>
      </c>
      <c r="Y50" s="10" t="s">
        <v>123</v>
      </c>
      <c r="Z50" s="37">
        <v>1</v>
      </c>
      <c r="AA50" s="33">
        <v>43889</v>
      </c>
      <c r="AB50" s="9" t="s">
        <v>114</v>
      </c>
      <c r="AC50" s="9" t="s">
        <v>124</v>
      </c>
      <c r="AD50" s="15">
        <v>44012</v>
      </c>
      <c r="AE50" s="39" t="s">
        <v>125</v>
      </c>
      <c r="AF50" s="35">
        <v>5</v>
      </c>
      <c r="AG50" s="10" t="s">
        <v>126</v>
      </c>
      <c r="AH50" s="35"/>
      <c r="AI50" s="31">
        <f>FAR[[#This Row],[EUL]]</f>
        <v>6</v>
      </c>
      <c r="AJ50" s="31">
        <f>FAR[[#This Row],[Opening RUL 30 June 2026]]-1</f>
        <v>0</v>
      </c>
      <c r="AK50" s="10" t="s">
        <v>127</v>
      </c>
      <c r="AL50" s="38">
        <v>0</v>
      </c>
      <c r="AM50" s="38">
        <v>1265</v>
      </c>
      <c r="AN50" s="13">
        <v>0</v>
      </c>
      <c r="AO50" s="13">
        <v>0</v>
      </c>
      <c r="AP50" s="13">
        <v>0</v>
      </c>
      <c r="AQ50" s="38">
        <v>1265</v>
      </c>
      <c r="AR50" s="38">
        <v>0</v>
      </c>
      <c r="AS50" s="38"/>
      <c r="AT50" s="38"/>
      <c r="AU50" s="38"/>
      <c r="AV50" s="13">
        <v>0</v>
      </c>
      <c r="AW50" s="38"/>
      <c r="AX50" s="13" t="s">
        <v>114</v>
      </c>
      <c r="AY50" s="37"/>
      <c r="AZ50" s="38"/>
      <c r="BA50" s="13">
        <v>-85.257534246575347</v>
      </c>
      <c r="BB50" s="38"/>
      <c r="BC50" s="13" t="s">
        <v>116</v>
      </c>
      <c r="BD50" s="38"/>
      <c r="BE50" s="13">
        <f>FAR[[#This Row],[Accumulated depreciation (Opening balance)]]+FAR[[#This Row],[Depreciation YTD]]</f>
        <v>-3534</v>
      </c>
      <c r="BF50" s="38"/>
      <c r="BG50" s="38"/>
      <c r="BH50" s="38"/>
      <c r="BI50" s="38"/>
      <c r="BJ50" s="38"/>
      <c r="BK50" s="29">
        <f>FAR[[#This Row],[Cost Price (closing balance)]]+FAR[[#This Row],[Accumulated depreciation (Closing balance)]]</f>
        <v>0</v>
      </c>
      <c r="BL50" s="38">
        <f>FAR[[#This Row],[Accumulated depreciation (Opening balance)]]</f>
        <v>-3337.666666666667</v>
      </c>
      <c r="BM50" s="38">
        <f>FAR[[#This Row],[Depreciation YTD]]</f>
        <v>-196.33333333333303</v>
      </c>
      <c r="BN50" s="38">
        <f>FAR[[#This Row],[Accumulated depreciation (Closing balance)]]</f>
        <v>-3534</v>
      </c>
      <c r="BO50" s="34"/>
      <c r="BP50" s="34"/>
      <c r="BQ50" s="34"/>
      <c r="BR50" s="34"/>
      <c r="BS50" t="e">
        <v>#N/A</v>
      </c>
    </row>
    <row r="51" spans="1:71" s="111" customFormat="1">
      <c r="A51" s="34">
        <v>0</v>
      </c>
      <c r="B51" s="35"/>
      <c r="C51" s="9" t="s">
        <v>54</v>
      </c>
      <c r="D51" s="10" t="s">
        <v>1</v>
      </c>
      <c r="E51" s="9" t="s">
        <v>115</v>
      </c>
      <c r="F51" s="36" t="s">
        <v>99</v>
      </c>
      <c r="G51" s="9" t="s">
        <v>100</v>
      </c>
      <c r="H51" s="34" t="s">
        <v>107</v>
      </c>
      <c r="I51" s="9" t="s">
        <v>100</v>
      </c>
      <c r="J51" s="36" t="s">
        <v>101</v>
      </c>
      <c r="K51" s="34" t="s">
        <v>108</v>
      </c>
      <c r="L51" s="34" t="s">
        <v>108</v>
      </c>
      <c r="M51" s="34" t="s">
        <v>108</v>
      </c>
      <c r="N51" s="9" t="s">
        <v>100</v>
      </c>
      <c r="O51" s="34" t="s">
        <v>107</v>
      </c>
      <c r="P51" s="9" t="s">
        <v>100</v>
      </c>
      <c r="Q51" s="34" t="s">
        <v>107</v>
      </c>
      <c r="R51" s="34" t="s">
        <v>113</v>
      </c>
      <c r="S51" s="10" t="s">
        <v>119</v>
      </c>
      <c r="T51" s="10" t="s">
        <v>130</v>
      </c>
      <c r="U51" s="10" t="s">
        <v>120</v>
      </c>
      <c r="V51" s="10" t="s">
        <v>101</v>
      </c>
      <c r="W51" s="10" t="s">
        <v>121</v>
      </c>
      <c r="X51" s="10" t="s">
        <v>122</v>
      </c>
      <c r="Y51" s="10" t="s">
        <v>123</v>
      </c>
      <c r="Z51" s="37">
        <v>1</v>
      </c>
      <c r="AA51" s="33">
        <v>43889</v>
      </c>
      <c r="AB51" s="9" t="s">
        <v>114</v>
      </c>
      <c r="AC51" s="9" t="s">
        <v>124</v>
      </c>
      <c r="AD51" s="15">
        <v>44012</v>
      </c>
      <c r="AE51" s="39" t="s">
        <v>125</v>
      </c>
      <c r="AF51" s="35">
        <v>5</v>
      </c>
      <c r="AG51" s="10" t="s">
        <v>126</v>
      </c>
      <c r="AH51" s="35"/>
      <c r="AI51" s="31">
        <f>FAR[[#This Row],[EUL]]</f>
        <v>6</v>
      </c>
      <c r="AJ51" s="31">
        <f>FAR[[#This Row],[Opening RUL 30 June 2026]]-1</f>
        <v>0</v>
      </c>
      <c r="AK51" s="10" t="s">
        <v>127</v>
      </c>
      <c r="AL51" s="38">
        <v>0</v>
      </c>
      <c r="AM51" s="38">
        <v>1265</v>
      </c>
      <c r="AN51" s="13">
        <v>0</v>
      </c>
      <c r="AO51" s="13">
        <v>0</v>
      </c>
      <c r="AP51" s="13">
        <v>0</v>
      </c>
      <c r="AQ51" s="38">
        <v>1265</v>
      </c>
      <c r="AR51" s="38">
        <v>0</v>
      </c>
      <c r="AS51" s="38"/>
      <c r="AT51" s="38"/>
      <c r="AU51" s="38"/>
      <c r="AV51" s="13">
        <v>0</v>
      </c>
      <c r="AW51" s="38"/>
      <c r="AX51" s="13" t="s">
        <v>114</v>
      </c>
      <c r="AY51" s="37"/>
      <c r="AZ51" s="38"/>
      <c r="BA51" s="13">
        <v>-85.257534246575347</v>
      </c>
      <c r="BB51" s="38"/>
      <c r="BC51" s="13" t="s">
        <v>116</v>
      </c>
      <c r="BD51" s="38"/>
      <c r="BE51" s="13">
        <f>FAR[[#This Row],[Accumulated depreciation (Opening balance)]]+FAR[[#This Row],[Depreciation YTD]]</f>
        <v>-3534</v>
      </c>
      <c r="BF51" s="38"/>
      <c r="BG51" s="38"/>
      <c r="BH51" s="38"/>
      <c r="BI51" s="38"/>
      <c r="BJ51" s="38"/>
      <c r="BK51" s="29">
        <f>FAR[[#This Row],[Cost Price (closing balance)]]+FAR[[#This Row],[Accumulated depreciation (Closing balance)]]</f>
        <v>0</v>
      </c>
      <c r="BL51" s="38">
        <f>FAR[[#This Row],[Accumulated depreciation (Opening balance)]]</f>
        <v>-3337.666666666667</v>
      </c>
      <c r="BM51" s="38">
        <f>FAR[[#This Row],[Depreciation YTD]]</f>
        <v>-196.33333333333303</v>
      </c>
      <c r="BN51" s="38">
        <f>FAR[[#This Row],[Accumulated depreciation (Closing balance)]]</f>
        <v>-3534</v>
      </c>
      <c r="BO51" s="34"/>
      <c r="BP51" s="34"/>
      <c r="BQ51" s="34"/>
      <c r="BR51" s="34"/>
      <c r="BS51" t="e">
        <v>#N/A</v>
      </c>
    </row>
    <row r="52" spans="1:71" s="111" customFormat="1">
      <c r="A52" s="34">
        <v>0</v>
      </c>
      <c r="B52" s="35"/>
      <c r="C52" s="9" t="s">
        <v>54</v>
      </c>
      <c r="D52" s="10" t="s">
        <v>1</v>
      </c>
      <c r="E52" s="9" t="s">
        <v>115</v>
      </c>
      <c r="F52" s="36" t="s">
        <v>99</v>
      </c>
      <c r="G52" s="9" t="s">
        <v>100</v>
      </c>
      <c r="H52" s="34" t="s">
        <v>107</v>
      </c>
      <c r="I52" s="9" t="s">
        <v>100</v>
      </c>
      <c r="J52" s="36" t="s">
        <v>101</v>
      </c>
      <c r="K52" s="34" t="s">
        <v>108</v>
      </c>
      <c r="L52" s="34" t="s">
        <v>108</v>
      </c>
      <c r="M52" s="34" t="s">
        <v>108</v>
      </c>
      <c r="N52" s="9" t="s">
        <v>100</v>
      </c>
      <c r="O52" s="34" t="s">
        <v>107</v>
      </c>
      <c r="P52" s="9" t="s">
        <v>100</v>
      </c>
      <c r="Q52" s="34" t="s">
        <v>107</v>
      </c>
      <c r="R52" s="34" t="s">
        <v>113</v>
      </c>
      <c r="S52" s="10" t="s">
        <v>119</v>
      </c>
      <c r="T52" s="10" t="s">
        <v>130</v>
      </c>
      <c r="U52" s="10" t="s">
        <v>120</v>
      </c>
      <c r="V52" s="10" t="s">
        <v>101</v>
      </c>
      <c r="W52" s="10" t="s">
        <v>121</v>
      </c>
      <c r="X52" s="10" t="s">
        <v>122</v>
      </c>
      <c r="Y52" s="10" t="s">
        <v>123</v>
      </c>
      <c r="Z52" s="37">
        <v>1</v>
      </c>
      <c r="AA52" s="33">
        <v>43889</v>
      </c>
      <c r="AB52" s="9" t="s">
        <v>114</v>
      </c>
      <c r="AC52" s="9" t="s">
        <v>124</v>
      </c>
      <c r="AD52" s="15">
        <v>44012</v>
      </c>
      <c r="AE52" s="39" t="s">
        <v>125</v>
      </c>
      <c r="AF52" s="35">
        <v>5</v>
      </c>
      <c r="AG52" s="10" t="s">
        <v>126</v>
      </c>
      <c r="AH52" s="35"/>
      <c r="AI52" s="31">
        <f>FAR[[#This Row],[EUL]]</f>
        <v>6</v>
      </c>
      <c r="AJ52" s="31">
        <f>FAR[[#This Row],[Opening RUL 30 June 2026]]-1</f>
        <v>0</v>
      </c>
      <c r="AK52" s="10" t="s">
        <v>127</v>
      </c>
      <c r="AL52" s="38">
        <v>0</v>
      </c>
      <c r="AM52" s="38">
        <v>1265</v>
      </c>
      <c r="AN52" s="13">
        <v>0</v>
      </c>
      <c r="AO52" s="13">
        <v>0</v>
      </c>
      <c r="AP52" s="13">
        <v>0</v>
      </c>
      <c r="AQ52" s="38">
        <v>1265</v>
      </c>
      <c r="AR52" s="38">
        <v>0</v>
      </c>
      <c r="AS52" s="38"/>
      <c r="AT52" s="38"/>
      <c r="AU52" s="38"/>
      <c r="AV52" s="13">
        <v>0</v>
      </c>
      <c r="AW52" s="38"/>
      <c r="AX52" s="13" t="s">
        <v>114</v>
      </c>
      <c r="AY52" s="37"/>
      <c r="AZ52" s="38"/>
      <c r="BA52" s="13">
        <v>-85.257534246575347</v>
      </c>
      <c r="BB52" s="38"/>
      <c r="BC52" s="13" t="s">
        <v>116</v>
      </c>
      <c r="BD52" s="38"/>
      <c r="BE52" s="13">
        <f>FAR[[#This Row],[Accumulated depreciation (Opening balance)]]+FAR[[#This Row],[Depreciation YTD]]</f>
        <v>-3534</v>
      </c>
      <c r="BF52" s="38"/>
      <c r="BG52" s="38"/>
      <c r="BH52" s="38"/>
      <c r="BI52" s="38"/>
      <c r="BJ52" s="38"/>
      <c r="BK52" s="29">
        <f>FAR[[#This Row],[Cost Price (closing balance)]]+FAR[[#This Row],[Accumulated depreciation (Closing balance)]]</f>
        <v>0</v>
      </c>
      <c r="BL52" s="38">
        <f>FAR[[#This Row],[Accumulated depreciation (Opening balance)]]</f>
        <v>-3337.666666666667</v>
      </c>
      <c r="BM52" s="38">
        <f>FAR[[#This Row],[Depreciation YTD]]</f>
        <v>-196.33333333333303</v>
      </c>
      <c r="BN52" s="38">
        <f>FAR[[#This Row],[Accumulated depreciation (Closing balance)]]</f>
        <v>-3534</v>
      </c>
      <c r="BO52" s="34"/>
      <c r="BP52" s="34"/>
      <c r="BQ52" s="34"/>
      <c r="BR52" s="34"/>
      <c r="BS52" t="e">
        <v>#N/A</v>
      </c>
    </row>
    <row r="53" spans="1:71" s="111" customFormat="1">
      <c r="A53" s="34">
        <v>0</v>
      </c>
      <c r="B53" s="35"/>
      <c r="C53" s="9" t="s">
        <v>54</v>
      </c>
      <c r="D53" s="10" t="s">
        <v>1</v>
      </c>
      <c r="E53" s="9" t="s">
        <v>115</v>
      </c>
      <c r="F53" s="36" t="s">
        <v>99</v>
      </c>
      <c r="G53" s="9" t="s">
        <v>100</v>
      </c>
      <c r="H53" s="34" t="s">
        <v>107</v>
      </c>
      <c r="I53" s="9" t="s">
        <v>100</v>
      </c>
      <c r="J53" s="36" t="s">
        <v>101</v>
      </c>
      <c r="K53" s="34" t="s">
        <v>108</v>
      </c>
      <c r="L53" s="34" t="s">
        <v>108</v>
      </c>
      <c r="M53" s="34" t="s">
        <v>108</v>
      </c>
      <c r="N53" s="9" t="s">
        <v>100</v>
      </c>
      <c r="O53" s="34" t="s">
        <v>107</v>
      </c>
      <c r="P53" s="9" t="s">
        <v>100</v>
      </c>
      <c r="Q53" s="34" t="s">
        <v>107</v>
      </c>
      <c r="R53" s="34" t="s">
        <v>113</v>
      </c>
      <c r="S53" s="10" t="s">
        <v>119</v>
      </c>
      <c r="T53" s="10" t="s">
        <v>130</v>
      </c>
      <c r="U53" s="10" t="s">
        <v>120</v>
      </c>
      <c r="V53" s="10" t="s">
        <v>101</v>
      </c>
      <c r="W53" s="10" t="s">
        <v>121</v>
      </c>
      <c r="X53" s="10" t="s">
        <v>122</v>
      </c>
      <c r="Y53" s="10" t="s">
        <v>123</v>
      </c>
      <c r="Z53" s="37">
        <v>1</v>
      </c>
      <c r="AA53" s="33">
        <v>43889</v>
      </c>
      <c r="AB53" s="9" t="s">
        <v>114</v>
      </c>
      <c r="AC53" s="9" t="s">
        <v>124</v>
      </c>
      <c r="AD53" s="15">
        <v>44012</v>
      </c>
      <c r="AE53" s="39" t="s">
        <v>125</v>
      </c>
      <c r="AF53" s="35">
        <v>5</v>
      </c>
      <c r="AG53" s="10" t="s">
        <v>126</v>
      </c>
      <c r="AH53" s="35"/>
      <c r="AI53" s="31">
        <f>FAR[[#This Row],[EUL]]</f>
        <v>6</v>
      </c>
      <c r="AJ53" s="31">
        <f>FAR[[#This Row],[Opening RUL 30 June 2026]]-1</f>
        <v>0</v>
      </c>
      <c r="AK53" s="10" t="s">
        <v>127</v>
      </c>
      <c r="AL53" s="38">
        <v>0</v>
      </c>
      <c r="AM53" s="38">
        <v>1265</v>
      </c>
      <c r="AN53" s="13">
        <v>0</v>
      </c>
      <c r="AO53" s="13">
        <v>0</v>
      </c>
      <c r="AP53" s="13">
        <v>0</v>
      </c>
      <c r="AQ53" s="38">
        <v>1265</v>
      </c>
      <c r="AR53" s="38">
        <v>0</v>
      </c>
      <c r="AS53" s="38"/>
      <c r="AT53" s="38"/>
      <c r="AU53" s="38"/>
      <c r="AV53" s="13">
        <v>0</v>
      </c>
      <c r="AW53" s="38"/>
      <c r="AX53" s="13" t="s">
        <v>114</v>
      </c>
      <c r="AY53" s="37"/>
      <c r="AZ53" s="38"/>
      <c r="BA53" s="13">
        <v>-85.257534246575347</v>
      </c>
      <c r="BB53" s="38"/>
      <c r="BC53" s="13" t="s">
        <v>116</v>
      </c>
      <c r="BD53" s="38"/>
      <c r="BE53" s="13">
        <f>FAR[[#This Row],[Accumulated depreciation (Opening balance)]]+FAR[[#This Row],[Depreciation YTD]]</f>
        <v>-3534</v>
      </c>
      <c r="BF53" s="38"/>
      <c r="BG53" s="38"/>
      <c r="BH53" s="38"/>
      <c r="BI53" s="38"/>
      <c r="BJ53" s="38"/>
      <c r="BK53" s="29">
        <f>FAR[[#This Row],[Cost Price (closing balance)]]+FAR[[#This Row],[Accumulated depreciation (Closing balance)]]</f>
        <v>0</v>
      </c>
      <c r="BL53" s="38">
        <f>FAR[[#This Row],[Accumulated depreciation (Opening balance)]]</f>
        <v>-3337.666666666667</v>
      </c>
      <c r="BM53" s="38">
        <f>FAR[[#This Row],[Depreciation YTD]]</f>
        <v>-196.33333333333303</v>
      </c>
      <c r="BN53" s="38">
        <f>FAR[[#This Row],[Accumulated depreciation (Closing balance)]]</f>
        <v>-3534</v>
      </c>
      <c r="BO53" s="34"/>
      <c r="BP53" s="34"/>
      <c r="BQ53" s="34"/>
      <c r="BR53" s="34"/>
      <c r="BS53" t="e">
        <v>#N/A</v>
      </c>
    </row>
    <row r="54" spans="1:71" s="111" customFormat="1">
      <c r="A54" s="34">
        <v>0</v>
      </c>
      <c r="B54" s="35"/>
      <c r="C54" s="9" t="s">
        <v>54</v>
      </c>
      <c r="D54" s="10" t="s">
        <v>1</v>
      </c>
      <c r="E54" s="9" t="s">
        <v>115</v>
      </c>
      <c r="F54" s="36" t="s">
        <v>99</v>
      </c>
      <c r="G54" s="9" t="s">
        <v>100</v>
      </c>
      <c r="H54" s="34" t="s">
        <v>107</v>
      </c>
      <c r="I54" s="9" t="s">
        <v>100</v>
      </c>
      <c r="J54" s="36" t="s">
        <v>101</v>
      </c>
      <c r="K54" s="34" t="s">
        <v>108</v>
      </c>
      <c r="L54" s="34" t="s">
        <v>108</v>
      </c>
      <c r="M54" s="34" t="s">
        <v>108</v>
      </c>
      <c r="N54" s="9" t="s">
        <v>100</v>
      </c>
      <c r="O54" s="34" t="s">
        <v>107</v>
      </c>
      <c r="P54" s="9" t="s">
        <v>100</v>
      </c>
      <c r="Q54" s="34" t="s">
        <v>107</v>
      </c>
      <c r="R54" s="34" t="s">
        <v>113</v>
      </c>
      <c r="S54" s="10" t="s">
        <v>119</v>
      </c>
      <c r="T54" s="10" t="s">
        <v>130</v>
      </c>
      <c r="U54" s="10" t="s">
        <v>120</v>
      </c>
      <c r="V54" s="10" t="s">
        <v>101</v>
      </c>
      <c r="W54" s="10" t="s">
        <v>121</v>
      </c>
      <c r="X54" s="10" t="s">
        <v>122</v>
      </c>
      <c r="Y54" s="10" t="s">
        <v>123</v>
      </c>
      <c r="Z54" s="37">
        <v>1</v>
      </c>
      <c r="AA54" s="33">
        <v>43889</v>
      </c>
      <c r="AB54" s="9" t="s">
        <v>114</v>
      </c>
      <c r="AC54" s="9" t="s">
        <v>124</v>
      </c>
      <c r="AD54" s="15">
        <v>44012</v>
      </c>
      <c r="AE54" s="39" t="s">
        <v>125</v>
      </c>
      <c r="AF54" s="35">
        <v>5</v>
      </c>
      <c r="AG54" s="10" t="s">
        <v>126</v>
      </c>
      <c r="AH54" s="35"/>
      <c r="AI54" s="31">
        <f>FAR[[#This Row],[EUL]]</f>
        <v>6</v>
      </c>
      <c r="AJ54" s="31">
        <f>FAR[[#This Row],[Opening RUL 30 June 2026]]-1</f>
        <v>0</v>
      </c>
      <c r="AK54" s="10" t="s">
        <v>127</v>
      </c>
      <c r="AL54" s="38">
        <v>0</v>
      </c>
      <c r="AM54" s="38">
        <v>1265</v>
      </c>
      <c r="AN54" s="13">
        <v>0</v>
      </c>
      <c r="AO54" s="13">
        <v>0</v>
      </c>
      <c r="AP54" s="13">
        <v>0</v>
      </c>
      <c r="AQ54" s="38">
        <v>1265</v>
      </c>
      <c r="AR54" s="38">
        <v>0</v>
      </c>
      <c r="AS54" s="38"/>
      <c r="AT54" s="38"/>
      <c r="AU54" s="38"/>
      <c r="AV54" s="13">
        <v>0</v>
      </c>
      <c r="AW54" s="38"/>
      <c r="AX54" s="13" t="s">
        <v>114</v>
      </c>
      <c r="AY54" s="37"/>
      <c r="AZ54" s="38"/>
      <c r="BA54" s="13">
        <v>-85.257534246575347</v>
      </c>
      <c r="BB54" s="38"/>
      <c r="BC54" s="13" t="s">
        <v>116</v>
      </c>
      <c r="BD54" s="38"/>
      <c r="BE54" s="13">
        <f>FAR[[#This Row],[Accumulated depreciation (Opening balance)]]+FAR[[#This Row],[Depreciation YTD]]</f>
        <v>-3534</v>
      </c>
      <c r="BF54" s="38"/>
      <c r="BG54" s="38"/>
      <c r="BH54" s="38"/>
      <c r="BI54" s="38"/>
      <c r="BJ54" s="38"/>
      <c r="BK54" s="29">
        <f>FAR[[#This Row],[Cost Price (closing balance)]]+FAR[[#This Row],[Accumulated depreciation (Closing balance)]]</f>
        <v>0</v>
      </c>
      <c r="BL54" s="38">
        <f>FAR[[#This Row],[Accumulated depreciation (Opening balance)]]</f>
        <v>-3337.666666666667</v>
      </c>
      <c r="BM54" s="38">
        <f>FAR[[#This Row],[Depreciation YTD]]</f>
        <v>-196.33333333333303</v>
      </c>
      <c r="BN54" s="38">
        <f>FAR[[#This Row],[Accumulated depreciation (Closing balance)]]</f>
        <v>-3534</v>
      </c>
      <c r="BO54" s="34"/>
      <c r="BP54" s="34"/>
      <c r="BQ54" s="34"/>
      <c r="BR54" s="34"/>
      <c r="BS54" t="e">
        <v>#N/A</v>
      </c>
    </row>
    <row r="55" spans="1:71">
      <c r="AQ55" s="128">
        <f>SUM(AQ1:AQ54)</f>
        <v>292190</v>
      </c>
    </row>
    <row r="56" spans="1:71" s="111" customFormat="1">
      <c r="A56" s="98">
        <v>5278</v>
      </c>
      <c r="B56" s="99"/>
      <c r="C56" s="100" t="s">
        <v>54</v>
      </c>
      <c r="D56" s="101" t="s">
        <v>1</v>
      </c>
      <c r="E56" s="100" t="s">
        <v>115</v>
      </c>
      <c r="F56" s="102" t="s">
        <v>99</v>
      </c>
      <c r="G56" s="100" t="s">
        <v>100</v>
      </c>
      <c r="H56" s="98" t="s">
        <v>107</v>
      </c>
      <c r="I56" s="100" t="s">
        <v>100</v>
      </c>
      <c r="J56" s="102" t="s">
        <v>101</v>
      </c>
      <c r="K56" s="98"/>
      <c r="L56" s="98" t="s">
        <v>108</v>
      </c>
      <c r="M56" s="98" t="s">
        <v>108</v>
      </c>
      <c r="N56" s="100" t="s">
        <v>100</v>
      </c>
      <c r="O56" s="98" t="s">
        <v>107</v>
      </c>
      <c r="P56" s="100" t="s">
        <v>100</v>
      </c>
      <c r="Q56" s="98" t="s">
        <v>107</v>
      </c>
      <c r="R56" s="98" t="s">
        <v>109</v>
      </c>
      <c r="S56" s="101" t="s">
        <v>119</v>
      </c>
      <c r="T56" s="101" t="s">
        <v>130</v>
      </c>
      <c r="U56" s="101" t="s">
        <v>120</v>
      </c>
      <c r="V56" s="101" t="s">
        <v>101</v>
      </c>
      <c r="W56" s="101" t="s">
        <v>121</v>
      </c>
      <c r="X56" s="101" t="s">
        <v>122</v>
      </c>
      <c r="Y56" s="101" t="s">
        <v>123</v>
      </c>
      <c r="Z56" s="103">
        <v>1</v>
      </c>
      <c r="AA56" s="104">
        <v>43889</v>
      </c>
      <c r="AB56" s="100" t="s">
        <v>114</v>
      </c>
      <c r="AC56" s="100" t="s">
        <v>124</v>
      </c>
      <c r="AD56" s="105">
        <v>44012</v>
      </c>
      <c r="AE56" s="106" t="s">
        <v>125</v>
      </c>
      <c r="AF56" s="99">
        <v>5</v>
      </c>
      <c r="AG56" s="101" t="s">
        <v>126</v>
      </c>
      <c r="AH56" s="99"/>
      <c r="AI56" s="107">
        <f>FAR[[#This Row],[EUL]]</f>
        <v>6</v>
      </c>
      <c r="AJ56" s="107">
        <f>FAR[[#This Row],[Opening RUL 30 June 2026]]-1</f>
        <v>0</v>
      </c>
      <c r="AK56" s="101" t="s">
        <v>127</v>
      </c>
      <c r="AL56" s="108">
        <v>0</v>
      </c>
      <c r="AM56" s="108">
        <v>292190</v>
      </c>
      <c r="AN56" s="109">
        <v>0</v>
      </c>
      <c r="AO56" s="109">
        <v>0</v>
      </c>
      <c r="AP56" s="109">
        <v>0</v>
      </c>
      <c r="AQ56" s="108">
        <v>292190</v>
      </c>
      <c r="AR56" s="108">
        <v>0</v>
      </c>
      <c r="AS56" s="108"/>
      <c r="AT56" s="108"/>
      <c r="AU56" s="108"/>
      <c r="AV56" s="109">
        <v>0</v>
      </c>
      <c r="AW56" s="108"/>
      <c r="AX56" s="109" t="s">
        <v>114</v>
      </c>
      <c r="AY56" s="103"/>
      <c r="AZ56" s="108"/>
      <c r="BA56" s="109">
        <v>-577.52712328767132</v>
      </c>
      <c r="BB56" s="108"/>
      <c r="BC56" s="109" t="s">
        <v>116</v>
      </c>
      <c r="BD56" s="108"/>
      <c r="BE56" s="109">
        <f>FAR[[#This Row],[Accumulated depreciation (Opening balance)]]+FAR[[#This Row],[Depreciation YTD]]</f>
        <v>-3534</v>
      </c>
      <c r="BF56" s="108"/>
      <c r="BG56" s="108"/>
      <c r="BH56" s="108"/>
      <c r="BI56" s="108"/>
      <c r="BJ56" s="108"/>
      <c r="BK56" s="110">
        <f>FAR[[#This Row],[Cost Price (closing balance)]]+FAR[[#This Row],[Accumulated depreciation (Closing balance)]]</f>
        <v>0</v>
      </c>
      <c r="BL56" s="108">
        <f>FAR[[#This Row],[Accumulated depreciation (Opening balance)]]</f>
        <v>-3337.666666666667</v>
      </c>
      <c r="BM56" s="108">
        <f>FAR[[#This Row],[Depreciation YTD]]</f>
        <v>-196.33333333333303</v>
      </c>
      <c r="BN56" s="108">
        <f>FAR[[#This Row],[Accumulated depreciation (Closing balance)]]</f>
        <v>-3534</v>
      </c>
      <c r="BO56" s="98"/>
      <c r="BP56" s="98"/>
      <c r="BQ56" s="98"/>
      <c r="BR56" s="98"/>
      <c r="BS56" s="112" t="e">
        <v>#N/A</v>
      </c>
    </row>
  </sheetData>
  <dataValidations count="5">
    <dataValidation type="list" allowBlank="1" showInputMessage="1" showErrorMessage="1" sqref="D1:D54 D56" xr:uid="{00000000-0002-0000-0600-000000000000}">
      <formula1>OFFSET(#REF!,3,0,COUNTA(#REF!)-1,1)</formula1>
    </dataValidation>
    <dataValidation type="list" allowBlank="1" showInputMessage="1" showErrorMessage="1" sqref="R1:R54 R56" xr:uid="{00000000-0002-0000-0600-000001000000}">
      <formula1>OFFSET(#REF!,MATCH(Q1,#REF!,0)-1,1,COUNTIF(#REF!,Q1),1)</formula1>
    </dataValidation>
    <dataValidation type="list" allowBlank="1" showInputMessage="1" showErrorMessage="1" sqref="O1:O54 H1:H54 Q1:Q54 O56 H56 Q56" xr:uid="{00000000-0002-0000-0600-000002000000}">
      <formula1>OFFSET(#REF!,MATCH(C1,#REF!,0)-1,1,COUNTIF(#REF!,C1),1)</formula1>
    </dataValidation>
    <dataValidation type="list" allowBlank="1" showInputMessage="1" showErrorMessage="1" sqref="AK1:AK54 AK56" xr:uid="{00000000-0002-0000-0600-000003000000}">
      <formula1>General_List_F</formula1>
    </dataValidation>
    <dataValidation type="list" allowBlank="1" showInputMessage="1" showErrorMessage="1" sqref="S1:U54 AB1:AC54 S56:U56 AB56:AC56" xr:uid="{00000000-0002-0000-0600-000004000000}">
      <formula1>#REF!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Proposed journals</vt:lpstr>
      <vt:lpstr>Tie-in</vt:lpstr>
      <vt:lpstr>Disclosure per Register</vt:lpstr>
      <vt:lpstr>Detail1</vt:lpstr>
      <vt:lpstr>Detail2</vt:lpstr>
      <vt:lpstr>FAR Pivot</vt:lpstr>
      <vt:lpstr>NHC_FAR</vt:lpstr>
      <vt:lpstr>Intangible FAR</vt:lpstr>
      <vt:lpstr>Additions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 Fourie</dc:creator>
  <cp:lastModifiedBy>Mphodisa Donald Aphane</cp:lastModifiedBy>
  <dcterms:created xsi:type="dcterms:W3CDTF">2017-10-18T10:46:30Z</dcterms:created>
  <dcterms:modified xsi:type="dcterms:W3CDTF">2026-02-23T07:41:55Z</dcterms:modified>
</cp:coreProperties>
</file>